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840"/>
  </bookViews>
  <sheets>
    <sheet name="2022年第三季" sheetId="38" r:id="rId1"/>
    <sheet name="2022年第二季" sheetId="37" r:id="rId2"/>
    <sheet name="2022年第一季" sheetId="36" r:id="rId3"/>
    <sheet name="2021年第四季" sheetId="35" r:id="rId4"/>
    <sheet name="2021年第三季" sheetId="34" r:id="rId5"/>
    <sheet name="2021年第二季" sheetId="33" r:id="rId6"/>
    <sheet name="2021年第一季" sheetId="32" r:id="rId7"/>
    <sheet name="2020年第四季" sheetId="31" r:id="rId8"/>
    <sheet name="2020年第三季" sheetId="30" r:id="rId9"/>
    <sheet name="2020年第二季" sheetId="29" r:id="rId10"/>
    <sheet name="2020年第一季" sheetId="28" r:id="rId11"/>
    <sheet name="2019年第四季" sheetId="27" r:id="rId12"/>
    <sheet name="2019年第三季 " sheetId="26" r:id="rId13"/>
    <sheet name="2019年第二季" sheetId="25" r:id="rId14"/>
    <sheet name="2019年第一季" sheetId="23" r:id="rId15"/>
    <sheet name="2018年第四季度" sheetId="24" r:id="rId16"/>
    <sheet name="2018年第三季度" sheetId="22" r:id="rId17"/>
  </sheets>
  <calcPr calcId="124519"/>
  <fileRecoveryPr repairLoad="1"/>
</workbook>
</file>

<file path=xl/calcChain.xml><?xml version="1.0" encoding="utf-8"?>
<calcChain xmlns="http://schemas.openxmlformats.org/spreadsheetml/2006/main">
  <c r="U28" i="38"/>
  <c r="AA27"/>
  <c r="AA26"/>
  <c r="AA25"/>
  <c r="AA24"/>
  <c r="AA23"/>
  <c r="AA22"/>
  <c r="AA21"/>
  <c r="AA20"/>
  <c r="AA19"/>
  <c r="AA18"/>
  <c r="U23"/>
  <c r="AA17"/>
  <c r="AA16"/>
  <c r="AA15"/>
  <c r="AA14"/>
  <c r="AA13"/>
  <c r="U21"/>
  <c r="AA12"/>
  <c r="U12"/>
  <c r="AA11"/>
  <c r="U8"/>
  <c r="U10"/>
  <c r="AA9"/>
  <c r="AA8"/>
  <c r="U19"/>
  <c r="AA7"/>
  <c r="AA6"/>
  <c r="AA5"/>
  <c r="U25"/>
  <c r="U14"/>
  <c r="Y4"/>
  <c r="J28"/>
  <c r="P27"/>
  <c r="P26"/>
  <c r="P25"/>
  <c r="J25"/>
  <c r="P24"/>
  <c r="P23"/>
  <c r="J23"/>
  <c r="P22"/>
  <c r="P21"/>
  <c r="J21"/>
  <c r="P20"/>
  <c r="P19"/>
  <c r="J19"/>
  <c r="P18"/>
  <c r="P17"/>
  <c r="L5" s="1"/>
  <c r="P16"/>
  <c r="P15"/>
  <c r="P14"/>
  <c r="J14"/>
  <c r="P13"/>
  <c r="P12"/>
  <c r="J12"/>
  <c r="P11"/>
  <c r="P10"/>
  <c r="J10"/>
  <c r="P9"/>
  <c r="P8"/>
  <c r="J8"/>
  <c r="P7"/>
  <c r="P6"/>
  <c r="P5"/>
  <c r="L4" s="1"/>
  <c r="O4"/>
  <c r="N4"/>
  <c r="P4" s="1"/>
  <c r="L7" s="1"/>
  <c r="C6"/>
  <c r="C4"/>
  <c r="C9" s="1"/>
  <c r="C3"/>
  <c r="U28" i="37"/>
  <c r="AA27"/>
  <c r="AA26"/>
  <c r="AA25"/>
  <c r="AA24"/>
  <c r="AA23"/>
  <c r="AA22"/>
  <c r="AA21"/>
  <c r="U21"/>
  <c r="AA20"/>
  <c r="AA19"/>
  <c r="AA18"/>
  <c r="AA17"/>
  <c r="U23"/>
  <c r="U12"/>
  <c r="AA16"/>
  <c r="AA15"/>
  <c r="AA14"/>
  <c r="AA13"/>
  <c r="AA12"/>
  <c r="AA11"/>
  <c r="AA10"/>
  <c r="U10"/>
  <c r="U19"/>
  <c r="AA9"/>
  <c r="AA8"/>
  <c r="U8"/>
  <c r="AA7"/>
  <c r="U25"/>
  <c r="AA6"/>
  <c r="U14"/>
  <c r="Z4"/>
  <c r="U17" s="1"/>
  <c r="U18" s="1"/>
  <c r="U5" i="38" l="1"/>
  <c r="U7" s="1"/>
  <c r="C12"/>
  <c r="Z4"/>
  <c r="AA4" s="1"/>
  <c r="AA10"/>
  <c r="L6"/>
  <c r="J17"/>
  <c r="J18" s="1"/>
  <c r="J5"/>
  <c r="J7" s="1"/>
  <c r="J4"/>
  <c r="C11"/>
  <c r="Y4" i="37"/>
  <c r="AA5"/>
  <c r="W6" i="38" l="1"/>
  <c r="C14"/>
  <c r="W4"/>
  <c r="C17"/>
  <c r="C16"/>
  <c r="W8"/>
  <c r="C15"/>
  <c r="C13"/>
  <c r="W5"/>
  <c r="W7"/>
  <c r="U4"/>
  <c r="U17"/>
  <c r="U18" s="1"/>
  <c r="AA4" i="37"/>
  <c r="U4"/>
  <c r="U5"/>
  <c r="U7" s="1"/>
  <c r="W7" l="1"/>
  <c r="W6"/>
  <c r="W5"/>
  <c r="W4"/>
  <c r="P27" l="1"/>
  <c r="P26"/>
  <c r="P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P11"/>
  <c r="P10"/>
  <c r="J10"/>
  <c r="P9"/>
  <c r="P8"/>
  <c r="J8"/>
  <c r="P7"/>
  <c r="P6"/>
  <c r="P5"/>
  <c r="O4"/>
  <c r="J17" s="1"/>
  <c r="J18" s="1"/>
  <c r="N4"/>
  <c r="C27" i="22"/>
  <c r="C25"/>
  <c r="C24"/>
  <c r="C23"/>
  <c r="C22"/>
  <c r="C21"/>
  <c r="C20"/>
  <c r="C19"/>
  <c r="C18"/>
  <c r="C17"/>
  <c r="C16"/>
  <c r="C15"/>
  <c r="C14"/>
  <c r="C13"/>
  <c r="C12"/>
  <c r="C11"/>
  <c r="C9"/>
  <c r="C6"/>
  <c r="C4"/>
  <c r="C3"/>
  <c r="C27" i="24"/>
  <c r="C25"/>
  <c r="C24"/>
  <c r="C23"/>
  <c r="C22"/>
  <c r="C21"/>
  <c r="C20"/>
  <c r="C19"/>
  <c r="C18"/>
  <c r="C17"/>
  <c r="C16"/>
  <c r="C15"/>
  <c r="C14"/>
  <c r="C13"/>
  <c r="C12"/>
  <c r="C11"/>
  <c r="C6"/>
  <c r="C4"/>
  <c r="C3"/>
  <c r="J27" i="23"/>
  <c r="P25"/>
  <c r="J25"/>
  <c r="P24"/>
  <c r="P23"/>
  <c r="J23"/>
  <c r="P22"/>
  <c r="P21"/>
  <c r="J21"/>
  <c r="P20"/>
  <c r="P19"/>
  <c r="J19"/>
  <c r="P18"/>
  <c r="J18"/>
  <c r="P17"/>
  <c r="J17"/>
  <c r="C17"/>
  <c r="P16"/>
  <c r="C16"/>
  <c r="P15"/>
  <c r="C15"/>
  <c r="P14"/>
  <c r="J14"/>
  <c r="C14"/>
  <c r="P13"/>
  <c r="C13"/>
  <c r="P12"/>
  <c r="J12"/>
  <c r="C12"/>
  <c r="P11"/>
  <c r="C11"/>
  <c r="P10"/>
  <c r="J10"/>
  <c r="P9"/>
  <c r="C9"/>
  <c r="P8"/>
  <c r="J8"/>
  <c r="P7"/>
  <c r="L7"/>
  <c r="J7"/>
  <c r="P6"/>
  <c r="L6"/>
  <c r="C6"/>
  <c r="P5"/>
  <c r="L5"/>
  <c r="J5"/>
  <c r="P4"/>
  <c r="O4"/>
  <c r="N4"/>
  <c r="L4"/>
  <c r="J4"/>
  <c r="C4"/>
  <c r="C3"/>
  <c r="P25" i="25"/>
  <c r="J25"/>
  <c r="P24"/>
  <c r="P23"/>
  <c r="J23"/>
  <c r="P22"/>
  <c r="P21"/>
  <c r="J21"/>
  <c r="P20"/>
  <c r="P19"/>
  <c r="J19"/>
  <c r="P18"/>
  <c r="J18"/>
  <c r="P17"/>
  <c r="J17"/>
  <c r="C17"/>
  <c r="P16"/>
  <c r="C16"/>
  <c r="P15"/>
  <c r="C15"/>
  <c r="P14"/>
  <c r="J14"/>
  <c r="C14"/>
  <c r="P13"/>
  <c r="C13"/>
  <c r="P12"/>
  <c r="J12"/>
  <c r="C12"/>
  <c r="P11"/>
  <c r="C11"/>
  <c r="P10"/>
  <c r="J10"/>
  <c r="P9"/>
  <c r="C9"/>
  <c r="P8"/>
  <c r="J8"/>
  <c r="P7"/>
  <c r="L7"/>
  <c r="J7"/>
  <c r="P6"/>
  <c r="L6"/>
  <c r="C6"/>
  <c r="P5"/>
  <c r="L5"/>
  <c r="J5"/>
  <c r="P4"/>
  <c r="O4"/>
  <c r="N4"/>
  <c r="L4"/>
  <c r="J4"/>
  <c r="C4"/>
  <c r="C3"/>
  <c r="C17" i="26"/>
  <c r="C16"/>
  <c r="C15"/>
  <c r="C14"/>
  <c r="C13"/>
  <c r="C12"/>
  <c r="C11"/>
  <c r="C9"/>
  <c r="C6"/>
  <c r="C4"/>
  <c r="C3"/>
  <c r="C17" i="27"/>
  <c r="C16"/>
  <c r="C15"/>
  <c r="C14"/>
  <c r="C13"/>
  <c r="C12"/>
  <c r="C11"/>
  <c r="C9"/>
  <c r="C6"/>
  <c r="C4"/>
  <c r="C3"/>
  <c r="C17" i="28"/>
  <c r="C16"/>
  <c r="C15"/>
  <c r="C14"/>
  <c r="C13"/>
  <c r="C12"/>
  <c r="C11"/>
  <c r="C9"/>
  <c r="C6"/>
  <c r="C4"/>
  <c r="C3"/>
  <c r="C17" i="29"/>
  <c r="C16"/>
  <c r="C15"/>
  <c r="C14"/>
  <c r="C13"/>
  <c r="C11"/>
  <c r="C6"/>
  <c r="C4"/>
  <c r="C3"/>
  <c r="C17" i="30"/>
  <c r="C16"/>
  <c r="C15"/>
  <c r="C14"/>
  <c r="C13"/>
  <c r="C11"/>
  <c r="C6"/>
  <c r="C4"/>
  <c r="C3"/>
  <c r="C17" i="31"/>
  <c r="C16"/>
  <c r="C15"/>
  <c r="C14"/>
  <c r="C13"/>
  <c r="C12"/>
  <c r="C11"/>
  <c r="C9"/>
  <c r="C6"/>
  <c r="C4"/>
  <c r="C3"/>
  <c r="C17" i="32"/>
  <c r="C16"/>
  <c r="C15"/>
  <c r="C14"/>
  <c r="C13"/>
  <c r="C12"/>
  <c r="C11"/>
  <c r="C9"/>
  <c r="C6"/>
  <c r="C4"/>
  <c r="C3"/>
  <c r="AA27" i="33"/>
  <c r="AA26"/>
  <c r="AA25"/>
  <c r="U25"/>
  <c r="AA24"/>
  <c r="AA23"/>
  <c r="U23"/>
  <c r="AA22"/>
  <c r="AA21"/>
  <c r="U21"/>
  <c r="AA20"/>
  <c r="AA19"/>
  <c r="U19"/>
  <c r="AA18"/>
  <c r="U18"/>
  <c r="AA17"/>
  <c r="U17"/>
  <c r="C17"/>
  <c r="AA16"/>
  <c r="C16"/>
  <c r="AA15"/>
  <c r="C15"/>
  <c r="AA14"/>
  <c r="U14"/>
  <c r="C14"/>
  <c r="AA13"/>
  <c r="C13"/>
  <c r="AA12"/>
  <c r="U12"/>
  <c r="C12"/>
  <c r="AA11"/>
  <c r="C11"/>
  <c r="AA10"/>
  <c r="U10"/>
  <c r="AA9"/>
  <c r="C9"/>
  <c r="AA8"/>
  <c r="U8"/>
  <c r="AA7"/>
  <c r="W7"/>
  <c r="U7"/>
  <c r="AA6"/>
  <c r="W6"/>
  <c r="C6"/>
  <c r="AA5"/>
  <c r="W5"/>
  <c r="U5"/>
  <c r="AA4"/>
  <c r="Z4"/>
  <c r="Y4"/>
  <c r="W4"/>
  <c r="U4"/>
  <c r="C4"/>
  <c r="C3"/>
  <c r="AA27" i="34"/>
  <c r="P27"/>
  <c r="AA26"/>
  <c r="P26"/>
  <c r="AA25"/>
  <c r="U25"/>
  <c r="P25"/>
  <c r="J25"/>
  <c r="AA24"/>
  <c r="P24"/>
  <c r="AA23"/>
  <c r="U23"/>
  <c r="P23"/>
  <c r="J23"/>
  <c r="AA22"/>
  <c r="P22"/>
  <c r="AA21"/>
  <c r="U21"/>
  <c r="P21"/>
  <c r="J21"/>
  <c r="AA20"/>
  <c r="P20"/>
  <c r="AA19"/>
  <c r="U19"/>
  <c r="P19"/>
  <c r="J19"/>
  <c r="AA18"/>
  <c r="U18"/>
  <c r="P18"/>
  <c r="J18"/>
  <c r="AA17"/>
  <c r="U17"/>
  <c r="P17"/>
  <c r="J17"/>
  <c r="C17"/>
  <c r="AA16"/>
  <c r="P16"/>
  <c r="C16"/>
  <c r="AA15"/>
  <c r="P15"/>
  <c r="C15"/>
  <c r="AA14"/>
  <c r="U14"/>
  <c r="P14"/>
  <c r="J14"/>
  <c r="C14"/>
  <c r="AA13"/>
  <c r="P13"/>
  <c r="C13"/>
  <c r="AA12"/>
  <c r="U12"/>
  <c r="P12"/>
  <c r="J12"/>
  <c r="C12"/>
  <c r="AA11"/>
  <c r="P11"/>
  <c r="C11"/>
  <c r="AA10"/>
  <c r="U10"/>
  <c r="P10"/>
  <c r="J10"/>
  <c r="AA9"/>
  <c r="P9"/>
  <c r="C9"/>
  <c r="AA8"/>
  <c r="U8"/>
  <c r="P8"/>
  <c r="J8"/>
  <c r="AA7"/>
  <c r="W7"/>
  <c r="U7"/>
  <c r="P7"/>
  <c r="L7"/>
  <c r="J7"/>
  <c r="AA6"/>
  <c r="W6"/>
  <c r="P6"/>
  <c r="L6"/>
  <c r="C6"/>
  <c r="AA5"/>
  <c r="W5"/>
  <c r="U5"/>
  <c r="P5"/>
  <c r="L5"/>
  <c r="J5"/>
  <c r="AA4"/>
  <c r="Z4"/>
  <c r="Y4"/>
  <c r="W4"/>
  <c r="U4"/>
  <c r="P4"/>
  <c r="O4"/>
  <c r="N4"/>
  <c r="L4"/>
  <c r="J4"/>
  <c r="C4"/>
  <c r="C3"/>
  <c r="P27" i="35"/>
  <c r="P26"/>
  <c r="P25"/>
  <c r="J25"/>
  <c r="P24"/>
  <c r="P23"/>
  <c r="J23"/>
  <c r="P22"/>
  <c r="P21"/>
  <c r="J21"/>
  <c r="P20"/>
  <c r="P19"/>
  <c r="J19"/>
  <c r="P18"/>
  <c r="J18"/>
  <c r="P17"/>
  <c r="J17"/>
  <c r="C17"/>
  <c r="P16"/>
  <c r="C16"/>
  <c r="P15"/>
  <c r="C15"/>
  <c r="P14"/>
  <c r="J14"/>
  <c r="C14"/>
  <c r="P13"/>
  <c r="C13"/>
  <c r="P12"/>
  <c r="J12"/>
  <c r="C12"/>
  <c r="P11"/>
  <c r="C11"/>
  <c r="P10"/>
  <c r="J10"/>
  <c r="P9"/>
  <c r="C9"/>
  <c r="P8"/>
  <c r="J8"/>
  <c r="P7"/>
  <c r="L7"/>
  <c r="J7"/>
  <c r="P6"/>
  <c r="L6"/>
  <c r="C6"/>
  <c r="P5"/>
  <c r="L5"/>
  <c r="J5"/>
  <c r="P4"/>
  <c r="O4"/>
  <c r="N4"/>
  <c r="L4"/>
  <c r="J4"/>
  <c r="C4"/>
  <c r="C3"/>
  <c r="P27" i="36"/>
  <c r="P26"/>
  <c r="P25"/>
  <c r="J25"/>
  <c r="P24"/>
  <c r="P23"/>
  <c r="J23"/>
  <c r="P22"/>
  <c r="P21"/>
  <c r="J21"/>
  <c r="P20"/>
  <c r="P19"/>
  <c r="J19"/>
  <c r="P18"/>
  <c r="J18" s="1"/>
  <c r="P17"/>
  <c r="J17"/>
  <c r="C17" s="1"/>
  <c r="P16"/>
  <c r="C16" s="1"/>
  <c r="P15"/>
  <c r="C15"/>
  <c r="P14"/>
  <c r="J14"/>
  <c r="C14"/>
  <c r="P13"/>
  <c r="C13" s="1"/>
  <c r="P12"/>
  <c r="J12"/>
  <c r="C12" s="1"/>
  <c r="P11"/>
  <c r="C11" s="1"/>
  <c r="P10"/>
  <c r="J10"/>
  <c r="P9"/>
  <c r="C9"/>
  <c r="P8"/>
  <c r="J8"/>
  <c r="P7"/>
  <c r="L7"/>
  <c r="J7" s="1"/>
  <c r="P6"/>
  <c r="L6"/>
  <c r="C6"/>
  <c r="P5"/>
  <c r="L5"/>
  <c r="J5"/>
  <c r="P4" s="1"/>
  <c r="O4"/>
  <c r="N4"/>
  <c r="L4" s="1"/>
  <c r="J4"/>
  <c r="C4"/>
  <c r="C3"/>
  <c r="P4" i="37" l="1"/>
  <c r="L7" s="1"/>
  <c r="L4"/>
  <c r="L5"/>
  <c r="J5"/>
  <c r="J7" s="1"/>
  <c r="L6"/>
  <c r="J4"/>
  <c r="C17"/>
  <c r="C16" l="1"/>
  <c r="C15"/>
  <c r="C14"/>
  <c r="C13"/>
  <c r="C6"/>
  <c r="C4"/>
  <c r="C3"/>
  <c r="C9" l="1"/>
  <c r="C12"/>
  <c r="C11"/>
</calcChain>
</file>

<file path=xl/comments1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sharedStrings.xml><?xml version="1.0" encoding="utf-8"?>
<sst xmlns="http://schemas.openxmlformats.org/spreadsheetml/2006/main" count="2785" uniqueCount="132">
  <si>
    <t>漳平市中医院质量信息公开指标</t>
  </si>
  <si>
    <t>漳平市第二医院人均收费情况表（2021年1-9月）</t>
  </si>
  <si>
    <t>漳平市第二医院人均收费情况表（2021年1-12月）</t>
  </si>
  <si>
    <t>一级指标</t>
  </si>
  <si>
    <t>二级指标</t>
  </si>
  <si>
    <t>2021年第三季度</t>
  </si>
  <si>
    <t>数据来源</t>
  </si>
  <si>
    <t>资源配置</t>
  </si>
  <si>
    <t>门急诊人次（人次）</t>
  </si>
  <si>
    <t>医院管理系统</t>
  </si>
  <si>
    <t>项目</t>
  </si>
  <si>
    <t>单位</t>
  </si>
  <si>
    <t>金额</t>
  </si>
  <si>
    <t>比例</t>
  </si>
  <si>
    <t>门诊</t>
  </si>
  <si>
    <t>住院</t>
  </si>
  <si>
    <t>合计</t>
  </si>
  <si>
    <t>金额（元）</t>
  </si>
  <si>
    <t>出院人数（人）</t>
  </si>
  <si>
    <t>１、医疗收入</t>
  </si>
  <si>
    <t>元</t>
  </si>
  <si>
    <t>药占比</t>
  </si>
  <si>
    <t>总费用</t>
  </si>
  <si>
    <t>核定床位数</t>
  </si>
  <si>
    <t>医疗机构注册系统</t>
  </si>
  <si>
    <t>２、门诊收入</t>
  </si>
  <si>
    <t>卫生材料占医疗收入比例</t>
  </si>
  <si>
    <t>西药</t>
  </si>
  <si>
    <t>开放床日数</t>
  </si>
  <si>
    <t>３、门（急）诊人次数</t>
  </si>
  <si>
    <t>人次</t>
  </si>
  <si>
    <t>检查检验收入占医疗收入比例</t>
  </si>
  <si>
    <t>中成药</t>
  </si>
  <si>
    <t>床医比</t>
  </si>
  <si>
    <r>
      <rPr>
        <sz val="11"/>
        <color indexed="8"/>
        <rFont val="宋体"/>
        <family val="3"/>
        <charset val="134"/>
      </rPr>
      <t>1：</t>
    </r>
    <r>
      <rPr>
        <sz val="11"/>
        <color indexed="8"/>
        <rFont val="宋体"/>
        <family val="3"/>
        <charset val="134"/>
      </rPr>
      <t>0.675</t>
    </r>
  </si>
  <si>
    <t>４、人均门诊费用</t>
  </si>
  <si>
    <t>医务性收入占比</t>
  </si>
  <si>
    <t>中草药</t>
  </si>
  <si>
    <t>床护比</t>
  </si>
  <si>
    <r>
      <rPr>
        <sz val="11"/>
        <color indexed="8"/>
        <rFont val="宋体"/>
        <family val="3"/>
        <charset val="134"/>
      </rPr>
      <t>1：</t>
    </r>
    <r>
      <rPr>
        <sz val="11"/>
        <color indexed="8"/>
        <rFont val="宋体"/>
        <family val="3"/>
        <charset val="134"/>
      </rPr>
      <t>0.8</t>
    </r>
  </si>
  <si>
    <t>１）挂号、诊察、治疗、手术费</t>
  </si>
  <si>
    <t>挂号费</t>
  </si>
  <si>
    <t>医疗效率</t>
  </si>
  <si>
    <t>平均住院天数</t>
  </si>
  <si>
    <t>占比</t>
  </si>
  <si>
    <t>床位费</t>
  </si>
  <si>
    <t>医疗管理</t>
  </si>
  <si>
    <t>抗菌药物使用强度</t>
  </si>
  <si>
    <t>２）检查、检验收入</t>
  </si>
  <si>
    <t>诊察费</t>
  </si>
  <si>
    <t>医疗费用</t>
  </si>
  <si>
    <t>门急诊人次均费用（元）</t>
  </si>
  <si>
    <t>护理费</t>
  </si>
  <si>
    <t>住院人次均费用（元）</t>
  </si>
  <si>
    <t>３） 卫生材料收入</t>
  </si>
  <si>
    <t>检查费</t>
  </si>
  <si>
    <t>医院收入结构</t>
  </si>
  <si>
    <t>药品收入（不含中药饮片）占比（%）</t>
  </si>
  <si>
    <t>化验费</t>
  </si>
  <si>
    <t>中药饮片收入占比</t>
  </si>
  <si>
    <t>４）药品收入</t>
  </si>
  <si>
    <t>治疗费</t>
  </si>
  <si>
    <t>耗材收入占比</t>
  </si>
  <si>
    <t>手术费</t>
  </si>
  <si>
    <t>检查检验收入占医疗收入比例（%）</t>
  </si>
  <si>
    <t>５、出院人数</t>
  </si>
  <si>
    <t>人</t>
  </si>
  <si>
    <t>救护车费</t>
  </si>
  <si>
    <t>医务性收入占医疗收入比例（%）</t>
  </si>
  <si>
    <t>６、住院收入</t>
  </si>
  <si>
    <t>万元</t>
  </si>
  <si>
    <t>其他费</t>
  </si>
  <si>
    <t>７、人均住院收费水平</t>
  </si>
  <si>
    <t>MRI费</t>
  </si>
  <si>
    <t>１）床位、诊察、治疗、手术、护理</t>
  </si>
  <si>
    <t>CT费</t>
  </si>
  <si>
    <t>彩超费</t>
  </si>
  <si>
    <t>２）检查收入</t>
  </si>
  <si>
    <t>输氧费</t>
  </si>
  <si>
    <t>输血费</t>
  </si>
  <si>
    <t>麻醉费</t>
  </si>
  <si>
    <t>麻醉相关费</t>
  </si>
  <si>
    <t>其他医疗费</t>
  </si>
  <si>
    <t>病历</t>
  </si>
  <si>
    <t>医学观察点</t>
  </si>
  <si>
    <t>入院人数</t>
  </si>
  <si>
    <t>实际开放床日数</t>
  </si>
  <si>
    <t>实际占用床日数</t>
  </si>
  <si>
    <t>出院者占用总床日数</t>
  </si>
  <si>
    <t>漳平市第二医院人均收费情况表（2021年1-6月）</t>
  </si>
  <si>
    <t>漳平市第二医院人均收费情况表（2021年1-3月）</t>
  </si>
  <si>
    <t>2021年第二季度</t>
  </si>
  <si>
    <t>2021年第一季度</t>
  </si>
  <si>
    <t>药品收入占（不含中药饮片）占比（%）</t>
  </si>
  <si>
    <t>漳平市第二医院人均收费情况表（2020年1-9月）</t>
  </si>
  <si>
    <t>漳平市第二医院人均收费情况表（2020年1-12月）</t>
  </si>
  <si>
    <t>2020年第四季度</t>
  </si>
  <si>
    <t>漳平市第二医院人均收费情况表（2020年1-6月）</t>
  </si>
  <si>
    <t>2020年第三季度</t>
  </si>
  <si>
    <t>漳平市第二医院人均收费情况表（2020年1-3月）</t>
  </si>
  <si>
    <t>2020年第二季度</t>
  </si>
  <si>
    <t>2020年第一季度</t>
  </si>
  <si>
    <t>漳平市第二医院人均收费情况表（2019年1-9月）</t>
  </si>
  <si>
    <t>漳平市第二医院人均收费情况表（2019年1-12月）</t>
  </si>
  <si>
    <t>2019年第四季度</t>
  </si>
  <si>
    <t>漳平市第二医院人均收费情况表（2019年1-6月）</t>
  </si>
  <si>
    <t>2019年第三季度</t>
  </si>
  <si>
    <t>漳平市第二医院人均收费情况表（2019年1-3月）</t>
  </si>
  <si>
    <t>2019年第二季度</t>
  </si>
  <si>
    <t>2019年第一季度</t>
  </si>
  <si>
    <t>漳平市第二医院质量信息公开指标</t>
  </si>
  <si>
    <t>2018年第四季度</t>
  </si>
  <si>
    <t>药品收入（不含中药饮片）（元）</t>
  </si>
  <si>
    <t>中药饮片收入</t>
  </si>
  <si>
    <t>耗材收入（元）</t>
  </si>
  <si>
    <t>医疗收入（不含中药饮片）</t>
  </si>
  <si>
    <t>检查检验收入（元）</t>
  </si>
  <si>
    <t>医药收入（元）</t>
  </si>
  <si>
    <t>医务性收入（元）</t>
  </si>
  <si>
    <t>百元医疗收入（不含药品收入）消耗的卫生材料（元）</t>
  </si>
  <si>
    <t>卫生材料费（元）</t>
  </si>
  <si>
    <t>药品收入（元）</t>
  </si>
  <si>
    <t>2018年第三季度</t>
  </si>
  <si>
    <t>2021年第四季度</t>
    <phoneticPr fontId="7" type="noConversion"/>
  </si>
  <si>
    <t>漳平市第二医院人均收费情况表（2022年1-3月）</t>
  </si>
  <si>
    <t>2022年第一季度</t>
    <phoneticPr fontId="9" type="noConversion"/>
  </si>
  <si>
    <t>漳平市第二医院人均收费情况表（2022年1-6月）</t>
  </si>
  <si>
    <t>1：0.7377</t>
    <phoneticPr fontId="7" type="noConversion"/>
  </si>
  <si>
    <t>2022年第二季度</t>
    <phoneticPr fontId="7" type="noConversion"/>
  </si>
  <si>
    <t>2022年第三季度</t>
    <phoneticPr fontId="7" type="noConversion"/>
  </si>
  <si>
    <t>漳平市第二医院人均收费情况表（2022年1-9月）</t>
  </si>
  <si>
    <t>医务性收入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</si>
</sst>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_ "/>
    <numFmt numFmtId="177" formatCode="#,##0.00_ "/>
  </numFmts>
  <fonts count="11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177" fontId="0" fillId="0" borderId="2" xfId="0" applyNumberForma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0" fillId="0" borderId="2" xfId="0" applyFon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>
      <alignment vertical="center"/>
    </xf>
    <xf numFmtId="0" fontId="3" fillId="3" borderId="2" xfId="0" applyFont="1" applyFill="1" applyBorder="1" applyAlignment="1">
      <alignment horizontal="center" vertical="top" wrapText="1"/>
    </xf>
    <xf numFmtId="177" fontId="3" fillId="3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2" xfId="0" applyNumberFormat="1" applyFont="1" applyFill="1" applyBorder="1">
      <alignment vertical="center"/>
    </xf>
    <xf numFmtId="177" fontId="3" fillId="0" borderId="2" xfId="0" applyNumberFormat="1" applyFont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177" fontId="3" fillId="4" borderId="2" xfId="0" applyNumberFormat="1" applyFont="1" applyFill="1" applyBorder="1">
      <alignment vertical="center"/>
    </xf>
    <xf numFmtId="177" fontId="0" fillId="4" borderId="2" xfId="0" applyNumberForma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4" borderId="2" xfId="0" applyNumberFormat="1" applyFont="1" applyFill="1" applyBorder="1" applyAlignment="1">
      <alignment horizontal="center" vertical="center" wrapText="1"/>
    </xf>
    <xf numFmtId="10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left" vertical="center"/>
    </xf>
    <xf numFmtId="10" fontId="3" fillId="4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/>
    </xf>
    <xf numFmtId="10" fontId="3" fillId="3" borderId="6" xfId="0" applyNumberFormat="1" applyFont="1" applyFill="1" applyBorder="1" applyAlignment="1">
      <alignment horizontal="left" vertical="center"/>
    </xf>
    <xf numFmtId="177" fontId="0" fillId="0" borderId="2" xfId="0" applyNumberFormat="1" applyBorder="1">
      <alignment vertical="center"/>
    </xf>
    <xf numFmtId="0" fontId="3" fillId="4" borderId="2" xfId="0" applyFont="1" applyFill="1" applyBorder="1" applyAlignment="1">
      <alignment horizontal="center" wrapText="1"/>
    </xf>
    <xf numFmtId="177" fontId="0" fillId="0" borderId="2" xfId="0" applyNumberForma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Border="1">
      <alignment vertical="center"/>
    </xf>
    <xf numFmtId="176" fontId="3" fillId="4" borderId="2" xfId="0" applyNumberFormat="1" applyFont="1" applyFill="1" applyBorder="1" applyAlignment="1">
      <alignment horizontal="center" wrapText="1"/>
    </xf>
    <xf numFmtId="177" fontId="0" fillId="0" borderId="0" xfId="0" applyNumberFormat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0" fontId="3" fillId="3" borderId="0" xfId="0" applyNumberFormat="1" applyFont="1" applyFill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常规" xfId="0" builtinId="0"/>
    <cellStyle name="常规 2 2" xfId="1"/>
    <cellStyle name="千位分隔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K6" sqref="K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5" t="s">
        <v>0</v>
      </c>
      <c r="B1" s="65"/>
      <c r="C1" s="65"/>
      <c r="H1" s="66" t="s">
        <v>126</v>
      </c>
      <c r="I1" s="66"/>
      <c r="J1" s="66"/>
      <c r="K1" s="66"/>
      <c r="L1" s="66"/>
      <c r="M1" s="66"/>
      <c r="N1" s="67"/>
      <c r="O1" s="67"/>
      <c r="P1" s="24"/>
      <c r="S1" s="66" t="s">
        <v>130</v>
      </c>
      <c r="T1" s="66"/>
      <c r="U1" s="66"/>
      <c r="V1" s="66"/>
      <c r="W1" s="66"/>
      <c r="X1" s="66"/>
      <c r="Y1" s="66"/>
      <c r="Z1" s="66"/>
      <c r="AA1" s="24"/>
    </row>
    <row r="2" spans="1:27" ht="21.75" customHeight="1">
      <c r="A2" s="63" t="s">
        <v>3</v>
      </c>
      <c r="B2" s="4" t="s">
        <v>4</v>
      </c>
      <c r="C2" s="5" t="s">
        <v>129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1798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f>N4+O4</f>
        <v>925552.2699999999</v>
      </c>
      <c r="K4" s="27" t="s">
        <v>21</v>
      </c>
      <c r="L4" s="33">
        <f>ROUND((P5+P6)/(P4-P7),4)</f>
        <v>0.28270000000000001</v>
      </c>
      <c r="M4" s="34" t="s">
        <v>22</v>
      </c>
      <c r="N4" s="35">
        <f>SUM(N5:N27)</f>
        <v>925552.2699999999</v>
      </c>
      <c r="O4" s="35">
        <f>SUM(O5:O27)</f>
        <v>0</v>
      </c>
      <c r="P4" s="36">
        <f t="shared" ref="P4:P27" si="0">SUM(N4:O4)</f>
        <v>925552.2699999999</v>
      </c>
      <c r="S4" s="16" t="s">
        <v>19</v>
      </c>
      <c r="T4" s="16" t="s">
        <v>20</v>
      </c>
      <c r="U4" s="32">
        <f>Y4+Z4</f>
        <v>1436724.1399999997</v>
      </c>
      <c r="V4" s="27" t="s">
        <v>21</v>
      </c>
      <c r="W4" s="33">
        <f>ROUND((AA5+AA6)/(AA4-AA7),4)</f>
        <v>0.30530000000000002</v>
      </c>
      <c r="X4" s="34" t="s">
        <v>22</v>
      </c>
      <c r="Y4" s="35">
        <f>SUM(Y5:Y27)</f>
        <v>1436724.1399999997</v>
      </c>
      <c r="Z4" s="35">
        <f>SUM(Z5:Z27)</f>
        <v>0</v>
      </c>
      <c r="AA4" s="36">
        <f t="shared" ref="AA4:AA27" si="1">SUM(Y4:Z4)</f>
        <v>1436724.1399999997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925552.2699999999</v>
      </c>
      <c r="K5" s="27" t="s">
        <v>26</v>
      </c>
      <c r="L5" s="33">
        <f>P17/P4</f>
        <v>4.0616830857105454E-3</v>
      </c>
      <c r="M5" s="37" t="s">
        <v>27</v>
      </c>
      <c r="N5" s="30">
        <v>188300.06999999998</v>
      </c>
      <c r="O5" s="30">
        <v>0</v>
      </c>
      <c r="P5" s="36">
        <f t="shared" si="0"/>
        <v>188300.06999999998</v>
      </c>
      <c r="S5" s="16" t="s">
        <v>25</v>
      </c>
      <c r="T5" s="16" t="s">
        <v>20</v>
      </c>
      <c r="U5" s="32">
        <f>Y4</f>
        <v>1436724.1399999997</v>
      </c>
      <c r="V5" s="27" t="s">
        <v>26</v>
      </c>
      <c r="W5" s="33">
        <f>AA17/AA4</f>
        <v>4.0556776612662758E-3</v>
      </c>
      <c r="X5" s="37" t="s">
        <v>27</v>
      </c>
      <c r="Y5" s="30">
        <v>313832.75999999995</v>
      </c>
      <c r="Z5" s="30">
        <v>0</v>
      </c>
      <c r="AA5" s="36">
        <f t="shared" si="1"/>
        <v>313832.75999999995</v>
      </c>
    </row>
    <row r="6" spans="1:27" ht="21.75" customHeight="1">
      <c r="A6" s="69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3382</v>
      </c>
      <c r="K6" s="27" t="s">
        <v>31</v>
      </c>
      <c r="L6" s="39">
        <f>(P12+P13+P18+P19+P20)/P4</f>
        <v>0.127065757183006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5180</v>
      </c>
      <c r="V6" s="27" t="s">
        <v>31</v>
      </c>
      <c r="W6" s="39">
        <f>(AA12+AA13+AA18+AA19+AA20)/AA4</f>
        <v>0.13941716048565875</v>
      </c>
      <c r="X6" s="40" t="s">
        <v>32</v>
      </c>
      <c r="Y6" s="30">
        <v>0</v>
      </c>
      <c r="Z6" s="30">
        <v>0</v>
      </c>
      <c r="AA6" s="36">
        <f t="shared" si="1"/>
        <v>0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273.67009757539915</v>
      </c>
      <c r="K7" s="27" t="s">
        <v>36</v>
      </c>
      <c r="L7" s="41">
        <f>(P4-P5-P6-P7-P17-P12-P13-P18-P19-P20)/P4</f>
        <v>0.3850293727873414</v>
      </c>
      <c r="M7" s="40" t="s">
        <v>37</v>
      </c>
      <c r="N7" s="30">
        <v>259522.08999999997</v>
      </c>
      <c r="O7" s="30">
        <v>0</v>
      </c>
      <c r="P7" s="36">
        <f t="shared" si="0"/>
        <v>259522.08999999997</v>
      </c>
      <c r="S7" s="16" t="s">
        <v>35</v>
      </c>
      <c r="T7" s="16" t="s">
        <v>20</v>
      </c>
      <c r="U7" s="32">
        <f>U5/U6</f>
        <v>277.35987258687254</v>
      </c>
      <c r="V7" s="27" t="s">
        <v>131</v>
      </c>
      <c r="W7" s="64">
        <f>AA4-AA5-AA6-AA7-AA17-AA12-AA13-AA18-AA19-AA20</f>
        <v>507863.07999999973</v>
      </c>
      <c r="X7" s="40" t="s">
        <v>37</v>
      </c>
      <c r="Y7" s="30">
        <v>408897.41</v>
      </c>
      <c r="Z7" s="30">
        <v>0</v>
      </c>
      <c r="AA7" s="36">
        <f t="shared" si="1"/>
        <v>408897.41</v>
      </c>
    </row>
    <row r="8" spans="1:27" ht="21.75" customHeight="1">
      <c r="A8" s="70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199153.7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350072.2</v>
      </c>
      <c r="V8" s="27" t="s">
        <v>36</v>
      </c>
      <c r="W8" s="33">
        <f>(AA4-AA5-AA6-AA7-AA17-AA12-AA13-AA18-AA19-AA20)/AA4</f>
        <v>0.35348684264468461</v>
      </c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 t="e">
        <f>ROUND((X31-M31)/C4,0)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0</v>
      </c>
      <c r="P9" s="36">
        <f t="shared" si="0"/>
        <v>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0</v>
      </c>
      <c r="AA9" s="36">
        <f t="shared" si="1"/>
        <v>0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N12+N18+N19+N20</f>
        <v>95646</v>
      </c>
      <c r="K10" s="27"/>
      <c r="L10" s="43"/>
      <c r="M10" s="40" t="s">
        <v>49</v>
      </c>
      <c r="N10" s="30">
        <v>75052</v>
      </c>
      <c r="O10" s="30">
        <v>0</v>
      </c>
      <c r="P10" s="36">
        <f t="shared" si="0"/>
        <v>75052</v>
      </c>
      <c r="S10" s="16" t="s">
        <v>48</v>
      </c>
      <c r="T10" s="16" t="s">
        <v>20</v>
      </c>
      <c r="U10" s="32">
        <f>Y12+Y18+Y19+Y20</f>
        <v>166501</v>
      </c>
      <c r="V10" s="27"/>
      <c r="W10" s="43"/>
      <c r="X10" s="40" t="s">
        <v>49</v>
      </c>
      <c r="Y10" s="30">
        <v>119767</v>
      </c>
      <c r="Z10" s="30">
        <v>0</v>
      </c>
      <c r="AA10" s="36">
        <f t="shared" si="1"/>
        <v>119767</v>
      </c>
    </row>
    <row r="11" spans="1:27" ht="21.75" customHeight="1">
      <c r="A11" s="68" t="s">
        <v>50</v>
      </c>
      <c r="B11" s="6" t="s">
        <v>51</v>
      </c>
      <c r="C11" s="12">
        <f>(Y4-N4)/C3</f>
        <v>284.30026140155718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0</v>
      </c>
      <c r="P11" s="36">
        <f t="shared" si="0"/>
        <v>0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0</v>
      </c>
      <c r="AA11" s="36">
        <f t="shared" si="1"/>
        <v>0</v>
      </c>
    </row>
    <row r="12" spans="1:27" ht="21.75" customHeight="1">
      <c r="A12" s="70"/>
      <c r="B12" s="6" t="s">
        <v>53</v>
      </c>
      <c r="C12" s="12" t="e">
        <f>(Z4-O4)/C4</f>
        <v>#DIV/0!</v>
      </c>
      <c r="D12" s="8" t="s">
        <v>9</v>
      </c>
      <c r="H12" s="16" t="s">
        <v>54</v>
      </c>
      <c r="I12" s="16" t="s">
        <v>20</v>
      </c>
      <c r="J12" s="32">
        <f>N17</f>
        <v>3759.2999999999997</v>
      </c>
      <c r="K12" s="27"/>
      <c r="L12" s="43"/>
      <c r="M12" s="40" t="s">
        <v>55</v>
      </c>
      <c r="N12" s="30">
        <v>27194</v>
      </c>
      <c r="O12" s="30">
        <v>0</v>
      </c>
      <c r="P12" s="36">
        <f t="shared" si="0"/>
        <v>27194</v>
      </c>
      <c r="S12" s="16" t="s">
        <v>54</v>
      </c>
      <c r="T12" s="16" t="s">
        <v>20</v>
      </c>
      <c r="U12" s="32">
        <f>Y17</f>
        <v>5826.89</v>
      </c>
      <c r="V12" s="27"/>
      <c r="W12" s="43"/>
      <c r="X12" s="40" t="s">
        <v>55</v>
      </c>
      <c r="Y12" s="30">
        <v>45286</v>
      </c>
      <c r="Z12" s="30">
        <v>0</v>
      </c>
      <c r="AA12" s="36">
        <f t="shared" si="1"/>
        <v>45286</v>
      </c>
    </row>
    <row r="13" spans="1:27" ht="21.75" customHeight="1">
      <c r="A13" s="68" t="s">
        <v>56</v>
      </c>
      <c r="B13" s="6" t="s">
        <v>57</v>
      </c>
      <c r="C13" s="13">
        <f>(SUM(AA5:AA6)-SUM(P5:P6))/(AA4-AA7-(P4-P7))</f>
        <v>0.34697038985031792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21960</v>
      </c>
      <c r="O13" s="30">
        <v>0</v>
      </c>
      <c r="P13" s="36">
        <f t="shared" si="0"/>
        <v>21960</v>
      </c>
      <c r="S13" s="16" t="s">
        <v>44</v>
      </c>
      <c r="T13" s="16"/>
      <c r="U13" s="32"/>
      <c r="V13" s="27"/>
      <c r="W13" s="43"/>
      <c r="X13" s="40" t="s">
        <v>58</v>
      </c>
      <c r="Y13" s="30">
        <v>33803</v>
      </c>
      <c r="Z13" s="30">
        <v>0</v>
      </c>
      <c r="AA13" s="36">
        <f t="shared" si="1"/>
        <v>33803</v>
      </c>
    </row>
    <row r="14" spans="1:27" ht="21.75" customHeight="1">
      <c r="A14" s="69"/>
      <c r="B14" s="6" t="s">
        <v>59</v>
      </c>
      <c r="C14" s="13">
        <f>(AA7-P7)/(AA4-P4)</f>
        <v>0.29222132274219254</v>
      </c>
      <c r="D14" s="8" t="s">
        <v>9</v>
      </c>
      <c r="H14" s="16" t="s">
        <v>60</v>
      </c>
      <c r="I14" s="16" t="s">
        <v>20</v>
      </c>
      <c r="J14" s="32">
        <f>N5+N6+N7</f>
        <v>447822.15999999992</v>
      </c>
      <c r="K14" s="27"/>
      <c r="L14" s="43"/>
      <c r="M14" s="40" t="s">
        <v>61</v>
      </c>
      <c r="N14" s="30">
        <v>123088.7</v>
      </c>
      <c r="O14" s="30">
        <v>0</v>
      </c>
      <c r="P14" s="36">
        <f t="shared" si="0"/>
        <v>123088.7</v>
      </c>
      <c r="S14" s="16" t="s">
        <v>60</v>
      </c>
      <c r="T14" s="16" t="s">
        <v>20</v>
      </c>
      <c r="U14" s="32">
        <f>Y5+Y6+Y7</f>
        <v>722730.16999999993</v>
      </c>
      <c r="V14" s="27"/>
      <c r="W14" s="43"/>
      <c r="X14" s="40" t="s">
        <v>61</v>
      </c>
      <c r="Y14" s="30">
        <v>228336.2</v>
      </c>
      <c r="Z14" s="30">
        <v>0</v>
      </c>
      <c r="AA14" s="36">
        <f t="shared" si="1"/>
        <v>228336.2</v>
      </c>
    </row>
    <row r="15" spans="1:27" ht="21.75" customHeight="1">
      <c r="A15" s="69"/>
      <c r="B15" s="6" t="s">
        <v>62</v>
      </c>
      <c r="C15" s="13">
        <f>(AA17-P17)/(AA4-P4)</f>
        <v>4.0448039521423619E-3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1013</v>
      </c>
      <c r="O15" s="30">
        <v>0</v>
      </c>
      <c r="P15" s="36">
        <f t="shared" si="0"/>
        <v>1013</v>
      </c>
      <c r="S15" s="16" t="s">
        <v>44</v>
      </c>
      <c r="T15" s="16"/>
      <c r="U15" s="32"/>
      <c r="V15" s="27"/>
      <c r="W15" s="43"/>
      <c r="X15" s="40" t="s">
        <v>63</v>
      </c>
      <c r="Y15" s="30">
        <v>1969</v>
      </c>
      <c r="Z15" s="30">
        <v>0</v>
      </c>
      <c r="AA15" s="36">
        <f t="shared" si="1"/>
        <v>1969</v>
      </c>
    </row>
    <row r="16" spans="1:27" ht="21.75" customHeight="1">
      <c r="A16" s="69"/>
      <c r="B16" s="6" t="s">
        <v>64</v>
      </c>
      <c r="C16" s="13">
        <f>(SUM(AA12:AA13,AA18:AA20)-SUM(P12:P13,P18:P20))/(AA4-P4)</f>
        <v>0.1617812028662689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0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0.2963744268635124</v>
      </c>
      <c r="D17" s="8" t="s">
        <v>9</v>
      </c>
      <c r="H17" s="16" t="s">
        <v>69</v>
      </c>
      <c r="I17" s="16" t="s">
        <v>70</v>
      </c>
      <c r="J17" s="32">
        <f>O4</f>
        <v>0</v>
      </c>
      <c r="K17" s="27"/>
      <c r="L17" s="43"/>
      <c r="M17" s="40" t="s">
        <v>71</v>
      </c>
      <c r="N17" s="30">
        <v>3759.2999999999997</v>
      </c>
      <c r="O17" s="30">
        <v>0</v>
      </c>
      <c r="P17" s="36">
        <f t="shared" si="0"/>
        <v>3759.2999999999997</v>
      </c>
      <c r="S17" s="16" t="s">
        <v>69</v>
      </c>
      <c r="T17" s="16" t="s">
        <v>70</v>
      </c>
      <c r="U17" s="32">
        <f>Z4</f>
        <v>0</v>
      </c>
      <c r="V17" s="27"/>
      <c r="W17" s="43"/>
      <c r="X17" s="40" t="s">
        <v>71</v>
      </c>
      <c r="Y17" s="30">
        <v>5826.89</v>
      </c>
      <c r="Z17" s="30">
        <v>0</v>
      </c>
      <c r="AA17" s="36">
        <f t="shared" si="1"/>
        <v>5826.89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15568</v>
      </c>
      <c r="O18" s="30">
        <v>0</v>
      </c>
      <c r="P18" s="36">
        <f t="shared" si="0"/>
        <v>15568</v>
      </c>
      <c r="S18" s="16" t="s">
        <v>72</v>
      </c>
      <c r="T18" s="16" t="s">
        <v>20</v>
      </c>
      <c r="U18" s="32" t="e">
        <f>U17/U16</f>
        <v>#DIV/0!</v>
      </c>
      <c r="V18" s="27"/>
      <c r="W18" s="43"/>
      <c r="X18" s="40" t="s">
        <v>73</v>
      </c>
      <c r="Y18" s="30">
        <v>35584</v>
      </c>
      <c r="Z18" s="30">
        <v>0</v>
      </c>
      <c r="AA18" s="36">
        <f t="shared" si="1"/>
        <v>35584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0</v>
      </c>
      <c r="K19" s="27"/>
      <c r="L19" s="43"/>
      <c r="M19" s="40" t="s">
        <v>75</v>
      </c>
      <c r="N19" s="30">
        <v>43328</v>
      </c>
      <c r="O19" s="30">
        <v>0</v>
      </c>
      <c r="P19" s="36">
        <f t="shared" si="0"/>
        <v>43328</v>
      </c>
      <c r="S19" s="16" t="s">
        <v>74</v>
      </c>
      <c r="T19" s="16" t="s">
        <v>20</v>
      </c>
      <c r="U19" s="32">
        <f>(Z8+Z9+Z10+Z11+Z14+Z15)</f>
        <v>0</v>
      </c>
      <c r="V19" s="27"/>
      <c r="W19" s="43"/>
      <c r="X19" s="40" t="s">
        <v>75</v>
      </c>
      <c r="Y19" s="30">
        <v>73126</v>
      </c>
      <c r="Z19" s="30">
        <v>0</v>
      </c>
      <c r="AA19" s="36">
        <f t="shared" si="1"/>
        <v>73126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9556</v>
      </c>
      <c r="O20" s="30">
        <v>0</v>
      </c>
      <c r="P20" s="36">
        <f t="shared" si="0"/>
        <v>9556</v>
      </c>
      <c r="S20" s="16" t="s">
        <v>44</v>
      </c>
      <c r="T20" s="16"/>
      <c r="U20" s="32"/>
      <c r="V20" s="27"/>
      <c r="W20" s="43"/>
      <c r="X20" s="40" t="s">
        <v>76</v>
      </c>
      <c r="Y20" s="30">
        <v>12505</v>
      </c>
      <c r="Z20" s="30">
        <v>0</v>
      </c>
      <c r="AA20" s="36">
        <f t="shared" si="1"/>
        <v>12505</v>
      </c>
    </row>
    <row r="21" spans="1:27" ht="26.1" customHeight="1">
      <c r="H21" s="16" t="s">
        <v>77</v>
      </c>
      <c r="I21" s="16" t="s">
        <v>20</v>
      </c>
      <c r="J21" s="32">
        <f>O12+O18+O19+O20</f>
        <v>0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f>Z12+Z18+Z19+Z20</f>
        <v>0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0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  <c r="S23" s="16" t="s">
        <v>54</v>
      </c>
      <c r="T23" s="16" t="s">
        <v>20</v>
      </c>
      <c r="U23" s="32">
        <f>Z17</f>
        <v>0</v>
      </c>
      <c r="V23" s="27"/>
      <c r="W23" s="43"/>
      <c r="X23" s="40" t="s">
        <v>80</v>
      </c>
      <c r="Y23" s="30">
        <v>0</v>
      </c>
      <c r="Z23" s="30">
        <v>0</v>
      </c>
      <c r="AA23" s="36">
        <f t="shared" si="1"/>
        <v>0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1"/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0</v>
      </c>
      <c r="K25" s="27"/>
      <c r="L25" s="43"/>
      <c r="M25" s="40" t="s">
        <v>82</v>
      </c>
      <c r="N25" s="30">
        <v>71.11</v>
      </c>
      <c r="O25" s="30">
        <v>0</v>
      </c>
      <c r="P25" s="36">
        <f t="shared" si="0"/>
        <v>71.11</v>
      </c>
      <c r="S25" s="16" t="s">
        <v>60</v>
      </c>
      <c r="T25" s="16" t="s">
        <v>20</v>
      </c>
      <c r="U25" s="32">
        <f>(Z5+Z6+Z7)</f>
        <v>0</v>
      </c>
      <c r="V25" s="27"/>
      <c r="W25" s="43"/>
      <c r="X25" s="40" t="s">
        <v>82</v>
      </c>
      <c r="Y25" s="30">
        <v>192.88</v>
      </c>
      <c r="Z25" s="30">
        <v>0</v>
      </c>
      <c r="AA25" s="36">
        <f t="shared" si="1"/>
        <v>192.88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f t="shared" si="1"/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157140</v>
      </c>
      <c r="O27" s="30">
        <v>0</v>
      </c>
      <c r="P27" s="36">
        <f t="shared" si="0"/>
        <v>157140</v>
      </c>
      <c r="S27" s="22"/>
      <c r="T27" s="22"/>
      <c r="U27" s="42"/>
      <c r="V27" s="57"/>
      <c r="W27" s="58"/>
      <c r="X27" s="29" t="s">
        <v>84</v>
      </c>
      <c r="Y27" s="30">
        <v>157260</v>
      </c>
      <c r="Z27" s="30">
        <v>0</v>
      </c>
      <c r="AA27" s="36">
        <f t="shared" si="1"/>
        <v>157260</v>
      </c>
    </row>
    <row r="28" spans="1:27" ht="26.1" customHeight="1">
      <c r="H28" s="23" t="s">
        <v>85</v>
      </c>
      <c r="I28" s="23" t="s">
        <v>66</v>
      </c>
      <c r="J28" s="48" t="e">
        <f>#REF!+#REF!</f>
        <v>#REF!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 t="e">
        <f>#REF!+#REF!</f>
        <v>#REF!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8145</v>
      </c>
      <c r="N29" s="24"/>
      <c r="O29" s="24"/>
      <c r="P29" s="24"/>
      <c r="W29" s="49" t="s">
        <v>86</v>
      </c>
      <c r="X29" s="50">
        <v>12285</v>
      </c>
      <c r="Y29" s="24"/>
      <c r="Z29" s="24"/>
      <c r="AA29" s="24"/>
    </row>
    <row r="30" spans="1:27" ht="26.1" customHeight="1">
      <c r="L30" s="51" t="s">
        <v>87</v>
      </c>
      <c r="M30" s="50">
        <v>0</v>
      </c>
      <c r="N30" s="24"/>
      <c r="O30" s="24"/>
      <c r="P30" s="24"/>
      <c r="W30" s="51" t="s">
        <v>87</v>
      </c>
      <c r="X30" s="50">
        <v>0</v>
      </c>
      <c r="Y30" s="24"/>
      <c r="Z30" s="24"/>
      <c r="AA30" s="24"/>
    </row>
    <row r="31" spans="1:27" ht="24">
      <c r="L31" s="51" t="s">
        <v>88</v>
      </c>
      <c r="M31" s="50">
        <v>0</v>
      </c>
      <c r="N31" s="24"/>
      <c r="O31" s="24"/>
      <c r="P31" s="24"/>
      <c r="W31" s="51" t="s">
        <v>88</v>
      </c>
      <c r="X31" s="50">
        <v>0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10" type="noConversion"/>
  <pageMargins left="0.7" right="0.7" top="0.75" bottom="0.75" header="0.3" footer="0.3"/>
  <pageSetup paperSize="9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C4" sqref="C4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5" t="s">
        <v>0</v>
      </c>
      <c r="B1" s="65"/>
      <c r="C1" s="65"/>
      <c r="H1" s="66" t="s">
        <v>99</v>
      </c>
      <c r="I1" s="66"/>
      <c r="J1" s="66"/>
      <c r="K1" s="66"/>
      <c r="L1" s="66"/>
      <c r="M1" s="66"/>
      <c r="N1" s="66"/>
      <c r="O1" s="66"/>
      <c r="P1" s="24"/>
      <c r="S1" s="66" t="s">
        <v>97</v>
      </c>
      <c r="T1" s="66"/>
      <c r="U1" s="66"/>
      <c r="V1" s="66"/>
      <c r="W1" s="66"/>
      <c r="X1" s="66"/>
      <c r="Y1" s="66"/>
      <c r="Z1" s="66"/>
      <c r="AA1" s="24"/>
    </row>
    <row r="2" spans="1:27" ht="21.75" customHeight="1">
      <c r="A2" s="3" t="s">
        <v>3</v>
      </c>
      <c r="B2" s="4" t="s">
        <v>4</v>
      </c>
      <c r="C2" s="3" t="s">
        <v>100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1176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v>255933.78</v>
      </c>
      <c r="K4" s="27" t="s">
        <v>21</v>
      </c>
      <c r="L4" s="33">
        <v>0.46839999999999998</v>
      </c>
      <c r="M4" s="34" t="s">
        <v>22</v>
      </c>
      <c r="N4" s="35">
        <v>212711.77</v>
      </c>
      <c r="O4" s="35">
        <v>43222.01</v>
      </c>
      <c r="P4" s="36">
        <v>255933.78</v>
      </c>
      <c r="S4" s="16" t="s">
        <v>19</v>
      </c>
      <c r="T4" s="16" t="s">
        <v>20</v>
      </c>
      <c r="U4" s="32">
        <v>551120.99</v>
      </c>
      <c r="V4" s="27" t="s">
        <v>21</v>
      </c>
      <c r="W4" s="33">
        <v>0.38159999999999999</v>
      </c>
      <c r="X4" s="34" t="s">
        <v>22</v>
      </c>
      <c r="Y4" s="35">
        <v>507898.98</v>
      </c>
      <c r="Z4" s="35">
        <v>43222.01</v>
      </c>
      <c r="AA4" s="36">
        <v>551120.99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212711.77</v>
      </c>
      <c r="K5" s="27" t="s">
        <v>26</v>
      </c>
      <c r="L5" s="33">
        <v>5.4701649778313795E-4</v>
      </c>
      <c r="M5" s="37" t="s">
        <v>27</v>
      </c>
      <c r="N5" s="30">
        <v>101201.99</v>
      </c>
      <c r="O5" s="30">
        <v>4248.66</v>
      </c>
      <c r="P5" s="36">
        <v>105450.65</v>
      </c>
      <c r="S5" s="16" t="s">
        <v>25</v>
      </c>
      <c r="T5" s="16" t="s">
        <v>20</v>
      </c>
      <c r="U5" s="32">
        <v>507898.98</v>
      </c>
      <c r="V5" s="27" t="s">
        <v>26</v>
      </c>
      <c r="W5" s="33">
        <v>5.2347851966226099E-4</v>
      </c>
      <c r="X5" s="37" t="s">
        <v>27</v>
      </c>
      <c r="Y5" s="30">
        <v>179270.99</v>
      </c>
      <c r="Z5" s="30">
        <v>4248.66</v>
      </c>
      <c r="AA5" s="36">
        <v>183519.65</v>
      </c>
    </row>
    <row r="6" spans="1:27" ht="21.75" customHeight="1">
      <c r="A6" s="69"/>
      <c r="B6" s="6" t="s">
        <v>28</v>
      </c>
      <c r="C6" s="7">
        <f>X28-M28</f>
        <v>4095</v>
      </c>
      <c r="D6" s="8" t="s">
        <v>9</v>
      </c>
      <c r="H6" s="16" t="s">
        <v>29</v>
      </c>
      <c r="I6" s="16" t="s">
        <v>30</v>
      </c>
      <c r="J6" s="38">
        <v>1490</v>
      </c>
      <c r="K6" s="27" t="s">
        <v>31</v>
      </c>
      <c r="L6" s="39">
        <v>0.16481607078205901</v>
      </c>
      <c r="M6" s="40" t="s">
        <v>32</v>
      </c>
      <c r="N6" s="30">
        <v>0</v>
      </c>
      <c r="O6" s="30">
        <v>0</v>
      </c>
      <c r="P6" s="36">
        <v>0</v>
      </c>
      <c r="S6" s="16" t="s">
        <v>29</v>
      </c>
      <c r="T6" s="16" t="s">
        <v>30</v>
      </c>
      <c r="U6" s="38">
        <v>2666</v>
      </c>
      <c r="V6" s="27" t="s">
        <v>31</v>
      </c>
      <c r="W6" s="39">
        <v>0.14653225238254899</v>
      </c>
      <c r="X6" s="40" t="s">
        <v>32</v>
      </c>
      <c r="Y6" s="30">
        <v>0</v>
      </c>
      <c r="Z6" s="30">
        <v>0</v>
      </c>
      <c r="AA6" s="36">
        <v>0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142.75957718120799</v>
      </c>
      <c r="K7" s="27" t="s">
        <v>36</v>
      </c>
      <c r="L7" s="41">
        <v>0.302228803091175</v>
      </c>
      <c r="M7" s="40" t="s">
        <v>37</v>
      </c>
      <c r="N7" s="30">
        <v>26692.45</v>
      </c>
      <c r="O7" s="30">
        <v>4118.12</v>
      </c>
      <c r="P7" s="36">
        <v>30810.57</v>
      </c>
      <c r="S7" s="16" t="s">
        <v>35</v>
      </c>
      <c r="T7" s="16" t="s">
        <v>20</v>
      </c>
      <c r="U7" s="32">
        <v>190.509744936234</v>
      </c>
      <c r="V7" s="27" t="s">
        <v>36</v>
      </c>
      <c r="W7" s="41">
        <v>0.392606839380224</v>
      </c>
      <c r="X7" s="40" t="s">
        <v>37</v>
      </c>
      <c r="Y7" s="30">
        <v>66063.850000000006</v>
      </c>
      <c r="Z7" s="30">
        <v>4118.12</v>
      </c>
      <c r="AA7" s="36">
        <v>70181.97</v>
      </c>
    </row>
    <row r="8" spans="1:27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53139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v>141338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>
        <v>0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3580</v>
      </c>
      <c r="AA9" s="36">
        <v>3580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19305</v>
      </c>
      <c r="K10" s="27"/>
      <c r="L10" s="43"/>
      <c r="M10" s="40" t="s">
        <v>49</v>
      </c>
      <c r="N10" s="30">
        <v>33718</v>
      </c>
      <c r="O10" s="30">
        <v>1568</v>
      </c>
      <c r="P10" s="36">
        <v>35286</v>
      </c>
      <c r="S10" s="16" t="s">
        <v>48</v>
      </c>
      <c r="T10" s="16" t="s">
        <v>20</v>
      </c>
      <c r="U10" s="32">
        <v>41326</v>
      </c>
      <c r="V10" s="27"/>
      <c r="W10" s="43"/>
      <c r="X10" s="40" t="s">
        <v>49</v>
      </c>
      <c r="Y10" s="30">
        <v>67276</v>
      </c>
      <c r="Z10" s="30">
        <v>1568</v>
      </c>
      <c r="AA10" s="36">
        <v>68844</v>
      </c>
    </row>
    <row r="11" spans="1:27" ht="21.75" customHeight="1">
      <c r="A11" s="68" t="s">
        <v>50</v>
      </c>
      <c r="B11" s="6" t="s">
        <v>51</v>
      </c>
      <c r="C11" s="12">
        <f>(Y4-N4)/C3</f>
        <v>251.00953231292499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1666</v>
      </c>
      <c r="AA11" s="36">
        <v>1666</v>
      </c>
    </row>
    <row r="12" spans="1:27" ht="21.75" customHeight="1">
      <c r="A12" s="70"/>
      <c r="B12" s="6" t="s">
        <v>53</v>
      </c>
      <c r="C12" s="12">
        <v>0</v>
      </c>
      <c r="D12" s="8" t="s">
        <v>9</v>
      </c>
      <c r="H12" s="16" t="s">
        <v>54</v>
      </c>
      <c r="I12" s="16" t="s">
        <v>20</v>
      </c>
      <c r="J12" s="32">
        <v>-20</v>
      </c>
      <c r="K12" s="27"/>
      <c r="L12" s="43"/>
      <c r="M12" s="40" t="s">
        <v>55</v>
      </c>
      <c r="N12" s="30">
        <v>5108</v>
      </c>
      <c r="O12" s="30">
        <v>909</v>
      </c>
      <c r="P12" s="36">
        <v>6017</v>
      </c>
      <c r="S12" s="16" t="s">
        <v>54</v>
      </c>
      <c r="T12" s="16" t="s">
        <v>20</v>
      </c>
      <c r="U12" s="32">
        <v>128.5</v>
      </c>
      <c r="V12" s="27"/>
      <c r="W12" s="43"/>
      <c r="X12" s="40" t="s">
        <v>55</v>
      </c>
      <c r="Y12" s="30">
        <v>9069</v>
      </c>
      <c r="Z12" s="30">
        <v>909</v>
      </c>
      <c r="AA12" s="36">
        <v>9978</v>
      </c>
    </row>
    <row r="13" spans="1:27" ht="21.75" customHeight="1">
      <c r="A13" s="68" t="s">
        <v>56</v>
      </c>
      <c r="B13" s="6" t="s">
        <v>93</v>
      </c>
      <c r="C13" s="13">
        <f>(SUM(AA5:AA6)-SUM(P5:P6))/(AA4-AA7-(P4-P7))</f>
        <v>0.305176603431977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11461</v>
      </c>
      <c r="O13" s="30">
        <v>3837</v>
      </c>
      <c r="P13" s="36">
        <v>15298</v>
      </c>
      <c r="S13" s="16" t="s">
        <v>44</v>
      </c>
      <c r="T13" s="16"/>
      <c r="U13" s="32"/>
      <c r="V13" s="27"/>
      <c r="W13" s="43"/>
      <c r="X13" s="40" t="s">
        <v>58</v>
      </c>
      <c r="Y13" s="30">
        <v>28015</v>
      </c>
      <c r="Z13" s="30">
        <v>3837</v>
      </c>
      <c r="AA13" s="36">
        <v>31852</v>
      </c>
    </row>
    <row r="14" spans="1:27" ht="21.75" customHeight="1">
      <c r="A14" s="69"/>
      <c r="B14" s="6" t="s">
        <v>59</v>
      </c>
      <c r="C14" s="13">
        <f>(AA7-P7)/(AA4-P4)</f>
        <v>0.133377730017503</v>
      </c>
      <c r="D14" s="8" t="s">
        <v>9</v>
      </c>
      <c r="H14" s="16" t="s">
        <v>60</v>
      </c>
      <c r="I14" s="16" t="s">
        <v>20</v>
      </c>
      <c r="J14" s="32">
        <v>127894.44</v>
      </c>
      <c r="K14" s="27"/>
      <c r="L14" s="43"/>
      <c r="M14" s="40" t="s">
        <v>61</v>
      </c>
      <c r="N14" s="30">
        <v>19027</v>
      </c>
      <c r="O14" s="30">
        <v>15848</v>
      </c>
      <c r="P14" s="36">
        <v>34875</v>
      </c>
      <c r="S14" s="16" t="s">
        <v>60</v>
      </c>
      <c r="T14" s="16" t="s">
        <v>20</v>
      </c>
      <c r="U14" s="32">
        <v>245334.84</v>
      </c>
      <c r="V14" s="27"/>
      <c r="W14" s="43"/>
      <c r="X14" s="40" t="s">
        <v>61</v>
      </c>
      <c r="Y14" s="30">
        <v>72936</v>
      </c>
      <c r="Z14" s="30">
        <v>15848</v>
      </c>
      <c r="AA14" s="36">
        <v>88784</v>
      </c>
    </row>
    <row r="15" spans="1:27" ht="21.75" customHeight="1">
      <c r="A15" s="69"/>
      <c r="B15" s="6" t="s">
        <v>62</v>
      </c>
      <c r="C15" s="13">
        <f>(AA17-P17)/(AA4-P4)</f>
        <v>5.0307057680446302E-4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394</v>
      </c>
      <c r="O15" s="30">
        <v>0</v>
      </c>
      <c r="P15" s="36">
        <v>394</v>
      </c>
      <c r="S15" s="16" t="s">
        <v>44</v>
      </c>
      <c r="T15" s="16"/>
      <c r="U15" s="32"/>
      <c r="V15" s="27"/>
      <c r="W15" s="43"/>
      <c r="X15" s="40" t="s">
        <v>63</v>
      </c>
      <c r="Y15" s="30">
        <v>1126</v>
      </c>
      <c r="Z15" s="30">
        <v>0</v>
      </c>
      <c r="AA15" s="36">
        <v>1126</v>
      </c>
    </row>
    <row r="16" spans="1:27" ht="21.75" customHeight="1">
      <c r="A16" s="69"/>
      <c r="B16" s="6" t="s">
        <v>64</v>
      </c>
      <c r="C16" s="13">
        <f>(SUM(AA12:AA13,AA18:AA20)-SUM(P12:P13,P18:P20))/(AA4-P4)</f>
        <v>0.13067978114634399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12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0.47096657744758003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-20</v>
      </c>
      <c r="O17" s="30">
        <v>160</v>
      </c>
      <c r="P17" s="36">
        <v>140</v>
      </c>
      <c r="S17" s="16" t="s">
        <v>69</v>
      </c>
      <c r="T17" s="16" t="s">
        <v>70</v>
      </c>
      <c r="U17" s="32">
        <v>43222.01</v>
      </c>
      <c r="V17" s="27"/>
      <c r="W17" s="43"/>
      <c r="X17" s="40" t="s">
        <v>71</v>
      </c>
      <c r="Y17" s="30">
        <v>128.5</v>
      </c>
      <c r="Z17" s="30">
        <v>160</v>
      </c>
      <c r="AA17" s="36">
        <v>288.5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0</v>
      </c>
      <c r="O18" s="30">
        <v>556</v>
      </c>
      <c r="P18" s="36">
        <v>556</v>
      </c>
      <c r="S18" s="16" t="s">
        <v>72</v>
      </c>
      <c r="T18" s="16" t="s">
        <v>20</v>
      </c>
      <c r="U18" s="32">
        <v>3601.8341666666702</v>
      </c>
      <c r="V18" s="27"/>
      <c r="W18" s="43"/>
      <c r="X18" s="40" t="s">
        <v>73</v>
      </c>
      <c r="Y18" s="30">
        <v>1112</v>
      </c>
      <c r="Z18" s="30">
        <v>556</v>
      </c>
      <c r="AA18" s="36">
        <v>1668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5343</v>
      </c>
      <c r="O19" s="30">
        <v>4591</v>
      </c>
      <c r="P19" s="36">
        <v>9934</v>
      </c>
      <c r="S19" s="16" t="s">
        <v>74</v>
      </c>
      <c r="T19" s="16" t="s">
        <v>20</v>
      </c>
      <c r="U19" s="32">
        <v>22662</v>
      </c>
      <c r="V19" s="27"/>
      <c r="W19" s="43"/>
      <c r="X19" s="40" t="s">
        <v>75</v>
      </c>
      <c r="Y19" s="30">
        <v>11446</v>
      </c>
      <c r="Z19" s="30">
        <v>4591</v>
      </c>
      <c r="AA19" s="36">
        <v>16037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8854</v>
      </c>
      <c r="O20" s="30">
        <v>1523</v>
      </c>
      <c r="P20" s="36">
        <v>10377</v>
      </c>
      <c r="S20" s="16" t="s">
        <v>44</v>
      </c>
      <c r="T20" s="16"/>
      <c r="U20" s="32"/>
      <c r="V20" s="27"/>
      <c r="W20" s="43"/>
      <c r="X20" s="40" t="s">
        <v>76</v>
      </c>
      <c r="Y20" s="30">
        <v>19699</v>
      </c>
      <c r="Z20" s="30">
        <v>1523</v>
      </c>
      <c r="AA20" s="36">
        <v>21222</v>
      </c>
    </row>
    <row r="21" spans="1:27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v>7579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  <c r="S23" s="16" t="s">
        <v>54</v>
      </c>
      <c r="T23" s="16" t="s">
        <v>20</v>
      </c>
      <c r="U23" s="32">
        <v>160</v>
      </c>
      <c r="V23" s="27"/>
      <c r="W23" s="43"/>
      <c r="X23" s="40" t="s">
        <v>80</v>
      </c>
      <c r="Y23" s="30">
        <v>144</v>
      </c>
      <c r="Z23" s="30">
        <v>0</v>
      </c>
      <c r="AA23" s="36">
        <v>144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v>0</v>
      </c>
    </row>
    <row r="25" spans="1:27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788.33</v>
      </c>
      <c r="O25" s="30">
        <v>617.23</v>
      </c>
      <c r="P25" s="36">
        <v>1405.56</v>
      </c>
      <c r="S25" s="16" t="s">
        <v>60</v>
      </c>
      <c r="T25" s="16" t="s">
        <v>20</v>
      </c>
      <c r="U25" s="32">
        <v>8366.7800000000007</v>
      </c>
      <c r="V25" s="27"/>
      <c r="W25" s="43"/>
      <c r="X25" s="40" t="s">
        <v>82</v>
      </c>
      <c r="Y25" s="30">
        <v>51612.639999999999</v>
      </c>
      <c r="Z25" s="30">
        <v>617.23</v>
      </c>
      <c r="AA25" s="36">
        <v>52229.87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10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4095</v>
      </c>
      <c r="N28" s="24"/>
      <c r="O28" s="24"/>
      <c r="P28" s="24"/>
      <c r="W28" s="49" t="s">
        <v>86</v>
      </c>
      <c r="X28" s="50">
        <v>8190</v>
      </c>
      <c r="Y28" s="24"/>
      <c r="Z28" s="24"/>
      <c r="AA28" s="24"/>
    </row>
    <row r="29" spans="1:27" ht="26.1" customHeight="1">
      <c r="L29" s="51" t="s">
        <v>87</v>
      </c>
      <c r="M29" s="50">
        <v>90</v>
      </c>
      <c r="N29" s="24"/>
      <c r="O29" s="24"/>
      <c r="P29" s="24"/>
      <c r="W29" s="51" t="s">
        <v>87</v>
      </c>
      <c r="X29" s="50">
        <v>90</v>
      </c>
      <c r="Y29" s="24">
        <v>1624</v>
      </c>
      <c r="Z29" s="24"/>
      <c r="AA29" s="24"/>
    </row>
    <row r="30" spans="1:27" ht="26.1" customHeight="1">
      <c r="L30" s="51" t="s">
        <v>88</v>
      </c>
      <c r="M30" s="50">
        <v>98</v>
      </c>
      <c r="N30" s="24"/>
      <c r="O30" s="24"/>
      <c r="P30" s="24"/>
      <c r="W30" s="51" t="s">
        <v>88</v>
      </c>
      <c r="X30" s="50">
        <v>98</v>
      </c>
      <c r="Y30" s="24">
        <v>1448</v>
      </c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sqref="A1:C1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</cols>
  <sheetData>
    <row r="1" spans="1:16" ht="22.5">
      <c r="A1" s="65" t="s">
        <v>0</v>
      </c>
      <c r="B1" s="65"/>
      <c r="C1" s="65"/>
      <c r="H1" s="66" t="s">
        <v>99</v>
      </c>
      <c r="I1" s="66"/>
      <c r="J1" s="66"/>
      <c r="K1" s="66"/>
      <c r="L1" s="66"/>
      <c r="M1" s="66"/>
      <c r="N1" s="66"/>
      <c r="O1" s="66"/>
      <c r="P1" s="24"/>
    </row>
    <row r="2" spans="1:16" ht="21.75" customHeight="1">
      <c r="A2" s="3" t="s">
        <v>3</v>
      </c>
      <c r="B2" s="4" t="s">
        <v>4</v>
      </c>
      <c r="C2" s="3" t="s">
        <v>101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68" t="s">
        <v>7</v>
      </c>
      <c r="B3" s="6" t="s">
        <v>8</v>
      </c>
      <c r="C3" s="7">
        <f>J6</f>
        <v>1490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69"/>
      <c r="B4" s="6" t="s">
        <v>18</v>
      </c>
      <c r="C4" s="7">
        <f>J16</f>
        <v>12</v>
      </c>
      <c r="D4" s="8" t="s">
        <v>9</v>
      </c>
      <c r="H4" s="16" t="s">
        <v>19</v>
      </c>
      <c r="I4" s="16" t="s">
        <v>20</v>
      </c>
      <c r="J4" s="32">
        <v>255933.78</v>
      </c>
      <c r="K4" s="27" t="s">
        <v>21</v>
      </c>
      <c r="L4" s="33">
        <v>0.46839999999999998</v>
      </c>
      <c r="M4" s="34" t="s">
        <v>22</v>
      </c>
      <c r="N4" s="35">
        <v>212711.77</v>
      </c>
      <c r="O4" s="35">
        <v>43222.01</v>
      </c>
      <c r="P4" s="36">
        <v>255933.78</v>
      </c>
    </row>
    <row r="5" spans="1:16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212711.77</v>
      </c>
      <c r="K5" s="27" t="s">
        <v>26</v>
      </c>
      <c r="L5" s="33">
        <v>5.4701649778313795E-4</v>
      </c>
      <c r="M5" s="37" t="s">
        <v>27</v>
      </c>
      <c r="N5" s="30">
        <v>101201.99</v>
      </c>
      <c r="O5" s="30">
        <v>4248.66</v>
      </c>
      <c r="P5" s="36">
        <v>105450.65</v>
      </c>
    </row>
    <row r="6" spans="1:16" ht="21.75" customHeight="1">
      <c r="A6" s="69"/>
      <c r="B6" s="6" t="s">
        <v>28</v>
      </c>
      <c r="C6" s="7">
        <f>M28</f>
        <v>4095</v>
      </c>
      <c r="D6" s="8" t="s">
        <v>9</v>
      </c>
      <c r="H6" s="16" t="s">
        <v>29</v>
      </c>
      <c r="I6" s="16" t="s">
        <v>30</v>
      </c>
      <c r="J6" s="38">
        <v>1490</v>
      </c>
      <c r="K6" s="27" t="s">
        <v>31</v>
      </c>
      <c r="L6" s="39">
        <v>0.16481607078205901</v>
      </c>
      <c r="M6" s="40" t="s">
        <v>32</v>
      </c>
      <c r="N6" s="30">
        <v>0</v>
      </c>
      <c r="O6" s="30">
        <v>0</v>
      </c>
      <c r="P6" s="36">
        <v>0</v>
      </c>
    </row>
    <row r="7" spans="1:16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142.75957718120799</v>
      </c>
      <c r="K7" s="27" t="s">
        <v>36</v>
      </c>
      <c r="L7" s="41">
        <v>0.302228803091175</v>
      </c>
      <c r="M7" s="40" t="s">
        <v>37</v>
      </c>
      <c r="N7" s="30">
        <v>26692.45</v>
      </c>
      <c r="O7" s="30">
        <v>4118.12</v>
      </c>
      <c r="P7" s="36">
        <v>30810.57</v>
      </c>
    </row>
    <row r="8" spans="1:16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53139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</row>
    <row r="9" spans="1:16" ht="21.75" customHeight="1">
      <c r="A9" s="10" t="s">
        <v>42</v>
      </c>
      <c r="B9" s="6" t="s">
        <v>43</v>
      </c>
      <c r="C9" s="11">
        <f>M30/J16</f>
        <v>8.1666666666666696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v>19305</v>
      </c>
      <c r="K10" s="27"/>
      <c r="L10" s="43"/>
      <c r="M10" s="40" t="s">
        <v>49</v>
      </c>
      <c r="N10" s="30">
        <v>33718</v>
      </c>
      <c r="O10" s="30">
        <v>1568</v>
      </c>
      <c r="P10" s="36">
        <v>35286</v>
      </c>
    </row>
    <row r="11" spans="1:16" ht="21.75" customHeight="1">
      <c r="A11" s="68" t="s">
        <v>50</v>
      </c>
      <c r="B11" s="6" t="s">
        <v>51</v>
      </c>
      <c r="C11" s="12">
        <f>J7</f>
        <v>142.75957718120799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</row>
    <row r="12" spans="1:16" ht="21.75" customHeight="1">
      <c r="A12" s="70"/>
      <c r="B12" s="6" t="s">
        <v>53</v>
      </c>
      <c r="C12" s="12">
        <f>J18</f>
        <v>3601.8341666666702</v>
      </c>
      <c r="D12" s="8" t="s">
        <v>9</v>
      </c>
      <c r="H12" s="16" t="s">
        <v>54</v>
      </c>
      <c r="I12" s="16" t="s">
        <v>20</v>
      </c>
      <c r="J12" s="32">
        <v>-20</v>
      </c>
      <c r="K12" s="27"/>
      <c r="L12" s="43"/>
      <c r="M12" s="40" t="s">
        <v>55</v>
      </c>
      <c r="N12" s="30">
        <v>5108</v>
      </c>
      <c r="O12" s="30">
        <v>909</v>
      </c>
      <c r="P12" s="36">
        <v>6017</v>
      </c>
    </row>
    <row r="13" spans="1:16" ht="21.75" customHeight="1">
      <c r="A13" s="71" t="s">
        <v>56</v>
      </c>
      <c r="B13" s="6" t="s">
        <v>93</v>
      </c>
      <c r="C13" s="13">
        <f>L4</f>
        <v>0.46839999999999998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11461</v>
      </c>
      <c r="O13" s="30">
        <v>3837</v>
      </c>
      <c r="P13" s="36">
        <v>15298</v>
      </c>
    </row>
    <row r="14" spans="1:16" ht="21.75" customHeight="1">
      <c r="A14" s="71"/>
      <c r="B14" s="6" t="s">
        <v>59</v>
      </c>
      <c r="C14" s="13">
        <f>P7/P4</f>
        <v>0.120384929257873</v>
      </c>
      <c r="D14" s="8" t="s">
        <v>9</v>
      </c>
      <c r="H14" s="16" t="s">
        <v>60</v>
      </c>
      <c r="I14" s="16" t="s">
        <v>20</v>
      </c>
      <c r="J14" s="32">
        <v>127894.44</v>
      </c>
      <c r="K14" s="27"/>
      <c r="L14" s="43"/>
      <c r="M14" s="40" t="s">
        <v>61</v>
      </c>
      <c r="N14" s="30">
        <v>19027</v>
      </c>
      <c r="O14" s="30">
        <v>15848</v>
      </c>
      <c r="P14" s="36">
        <v>34875</v>
      </c>
    </row>
    <row r="15" spans="1:16" ht="21.75" customHeight="1">
      <c r="A15" s="71"/>
      <c r="B15" s="6" t="s">
        <v>62</v>
      </c>
      <c r="C15" s="13">
        <f>P17/P4</f>
        <v>5.4701649778313795E-4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394</v>
      </c>
      <c r="O15" s="30">
        <v>0</v>
      </c>
      <c r="P15" s="36">
        <v>394</v>
      </c>
    </row>
    <row r="16" spans="1:16" ht="21.75" customHeight="1">
      <c r="A16" s="71"/>
      <c r="B16" s="6" t="s">
        <v>64</v>
      </c>
      <c r="C16" s="13">
        <f>L6</f>
        <v>0.16481607078205901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</row>
    <row r="17" spans="1:16" ht="21.75" customHeight="1">
      <c r="A17" s="71"/>
      <c r="B17" s="6" t="s">
        <v>68</v>
      </c>
      <c r="C17" s="13">
        <f>L7</f>
        <v>0.302228803091175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-20</v>
      </c>
      <c r="O17" s="30">
        <v>160</v>
      </c>
      <c r="P17" s="36">
        <v>140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0</v>
      </c>
      <c r="O18" s="30">
        <v>556</v>
      </c>
      <c r="P18" s="36">
        <v>556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5343</v>
      </c>
      <c r="O19" s="30">
        <v>4591</v>
      </c>
      <c r="P19" s="36">
        <v>9934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8854</v>
      </c>
      <c r="O20" s="30">
        <v>1523</v>
      </c>
      <c r="P20" s="36">
        <v>10377</v>
      </c>
    </row>
    <row r="21" spans="1:16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</row>
    <row r="23" spans="1:16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</row>
    <row r="25" spans="1:16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788.33</v>
      </c>
      <c r="O25" s="30">
        <v>617.23</v>
      </c>
      <c r="P25" s="36">
        <v>1405.56</v>
      </c>
    </row>
    <row r="26" spans="1:16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</row>
    <row r="27" spans="1:16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</row>
    <row r="28" spans="1:16" ht="26.1" customHeight="1">
      <c r="L28" s="49" t="s">
        <v>86</v>
      </c>
      <c r="M28" s="50">
        <v>4095</v>
      </c>
      <c r="N28" s="24"/>
      <c r="O28" s="24"/>
      <c r="P28" s="24"/>
    </row>
    <row r="29" spans="1:16" ht="26.1" customHeight="1">
      <c r="L29" s="51" t="s">
        <v>87</v>
      </c>
      <c r="M29" s="50">
        <v>90</v>
      </c>
      <c r="N29" s="24"/>
      <c r="O29" s="24"/>
      <c r="P29" s="24"/>
    </row>
    <row r="30" spans="1:16" ht="26.1" customHeight="1">
      <c r="L30" s="51" t="s">
        <v>88</v>
      </c>
      <c r="M30" s="50">
        <v>98</v>
      </c>
      <c r="N30" s="24"/>
      <c r="O30" s="24"/>
      <c r="P30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19" sqref="A1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5" t="s">
        <v>0</v>
      </c>
      <c r="B1" s="65"/>
      <c r="C1" s="65"/>
      <c r="H1" s="66" t="s">
        <v>102</v>
      </c>
      <c r="I1" s="66"/>
      <c r="J1" s="66"/>
      <c r="K1" s="66"/>
      <c r="L1" s="66"/>
      <c r="M1" s="66"/>
      <c r="N1" s="66"/>
      <c r="O1" s="66"/>
      <c r="P1" s="24"/>
      <c r="S1" s="66" t="s">
        <v>103</v>
      </c>
      <c r="T1" s="66"/>
      <c r="U1" s="66"/>
      <c r="V1" s="66"/>
      <c r="W1" s="66"/>
      <c r="X1" s="66"/>
      <c r="Y1" s="66"/>
      <c r="Z1" s="66"/>
      <c r="AA1" s="24"/>
    </row>
    <row r="2" spans="1:27" ht="21.75" customHeight="1">
      <c r="A2" s="3" t="s">
        <v>3</v>
      </c>
      <c r="B2" s="4" t="s">
        <v>4</v>
      </c>
      <c r="C2" s="3" t="s">
        <v>104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3968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60</v>
      </c>
      <c r="D4" s="8" t="s">
        <v>9</v>
      </c>
      <c r="H4" s="16" t="s">
        <v>19</v>
      </c>
      <c r="I4" s="16" t="s">
        <v>20</v>
      </c>
      <c r="J4" s="32">
        <v>5256649.32</v>
      </c>
      <c r="K4" s="27" t="s">
        <v>21</v>
      </c>
      <c r="L4" s="33">
        <v>0.22209999999999999</v>
      </c>
      <c r="M4" s="34" t="s">
        <v>22</v>
      </c>
      <c r="N4" s="35">
        <v>3177472.11</v>
      </c>
      <c r="O4" s="35">
        <v>2079177.21</v>
      </c>
      <c r="P4" s="36">
        <v>5256649.32</v>
      </c>
      <c r="S4" s="16" t="s">
        <v>19</v>
      </c>
      <c r="T4" s="16" t="s">
        <v>20</v>
      </c>
      <c r="U4" s="32">
        <v>6217280.7800000003</v>
      </c>
      <c r="V4" s="27" t="s">
        <v>21</v>
      </c>
      <c r="W4" s="33">
        <v>0.22289999999999999</v>
      </c>
      <c r="X4" s="34" t="s">
        <v>22</v>
      </c>
      <c r="Y4" s="35">
        <v>3862705.51</v>
      </c>
      <c r="Z4" s="35">
        <v>2354575.27</v>
      </c>
      <c r="AA4" s="36">
        <v>6217280.7800000003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3177472.11</v>
      </c>
      <c r="K5" s="27" t="s">
        <v>26</v>
      </c>
      <c r="L5" s="33">
        <v>8.2293220199060203E-3</v>
      </c>
      <c r="M5" s="37" t="s">
        <v>27</v>
      </c>
      <c r="N5" s="30">
        <v>732415.48</v>
      </c>
      <c r="O5" s="30">
        <v>221360.51</v>
      </c>
      <c r="P5" s="36">
        <v>953775.99</v>
      </c>
      <c r="S5" s="16" t="s">
        <v>25</v>
      </c>
      <c r="T5" s="16" t="s">
        <v>20</v>
      </c>
      <c r="U5" s="32">
        <v>3862705.51</v>
      </c>
      <c r="V5" s="27" t="s">
        <v>26</v>
      </c>
      <c r="W5" s="33">
        <v>7.0494902113782303E-3</v>
      </c>
      <c r="X5" s="37" t="s">
        <v>27</v>
      </c>
      <c r="Y5" s="30">
        <v>892227.82</v>
      </c>
      <c r="Z5" s="30">
        <v>247325.1</v>
      </c>
      <c r="AA5" s="36">
        <v>1139552.92</v>
      </c>
    </row>
    <row r="6" spans="1:27" ht="21.75" customHeight="1">
      <c r="A6" s="69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21171</v>
      </c>
      <c r="K6" s="27" t="s">
        <v>31</v>
      </c>
      <c r="L6" s="39">
        <v>0.234323827787698</v>
      </c>
      <c r="M6" s="40" t="s">
        <v>32</v>
      </c>
      <c r="N6" s="30">
        <v>81308.320000000007</v>
      </c>
      <c r="O6" s="30">
        <v>32745.68</v>
      </c>
      <c r="P6" s="36">
        <v>114054</v>
      </c>
      <c r="S6" s="16" t="s">
        <v>29</v>
      </c>
      <c r="T6" s="16" t="s">
        <v>30</v>
      </c>
      <c r="U6" s="38">
        <v>25139</v>
      </c>
      <c r="V6" s="27" t="s">
        <v>31</v>
      </c>
      <c r="W6" s="39">
        <v>0.229327617724223</v>
      </c>
      <c r="X6" s="40" t="s">
        <v>32</v>
      </c>
      <c r="Y6" s="30">
        <v>81308.320000000007</v>
      </c>
      <c r="Z6" s="30">
        <v>32745.68</v>
      </c>
      <c r="AA6" s="36">
        <v>114054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150.08606631713201</v>
      </c>
      <c r="K7" s="27" t="s">
        <v>36</v>
      </c>
      <c r="L7" s="41">
        <v>0.46877061222718203</v>
      </c>
      <c r="M7" s="40" t="s">
        <v>37</v>
      </c>
      <c r="N7" s="30">
        <v>363749.91</v>
      </c>
      <c r="O7" s="30">
        <v>85889.85</v>
      </c>
      <c r="P7" s="36">
        <v>449639.76</v>
      </c>
      <c r="S7" s="16" t="s">
        <v>35</v>
      </c>
      <c r="T7" s="16" t="s">
        <v>20</v>
      </c>
      <c r="U7" s="32">
        <v>153.65390468992399</v>
      </c>
      <c r="V7" s="27" t="s">
        <v>36</v>
      </c>
      <c r="W7" s="41">
        <v>0.46654174270700999</v>
      </c>
      <c r="X7" s="40" t="s">
        <v>37</v>
      </c>
      <c r="Y7" s="30">
        <v>483883.48</v>
      </c>
      <c r="Z7" s="30">
        <v>109546.52</v>
      </c>
      <c r="AA7" s="36">
        <v>593430</v>
      </c>
    </row>
    <row r="8" spans="1:27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1026913.65</v>
      </c>
      <c r="K8" s="27"/>
      <c r="L8" s="43"/>
      <c r="M8" s="40" t="s">
        <v>41</v>
      </c>
      <c r="N8" s="30">
        <v>5</v>
      </c>
      <c r="O8" s="30">
        <v>0</v>
      </c>
      <c r="P8" s="36">
        <v>5</v>
      </c>
      <c r="S8" s="16" t="s">
        <v>40</v>
      </c>
      <c r="T8" s="22" t="s">
        <v>20</v>
      </c>
      <c r="U8" s="42">
        <v>1298800.1499999999</v>
      </c>
      <c r="V8" s="27"/>
      <c r="W8" s="43"/>
      <c r="X8" s="40" t="s">
        <v>41</v>
      </c>
      <c r="Y8" s="30">
        <v>5</v>
      </c>
      <c r="Z8" s="30">
        <v>0</v>
      </c>
      <c r="AA8" s="36">
        <v>5</v>
      </c>
    </row>
    <row r="9" spans="1:27" ht="21.75" customHeight="1">
      <c r="A9" s="10" t="s">
        <v>42</v>
      </c>
      <c r="B9" s="6" t="s">
        <v>43</v>
      </c>
      <c r="C9" s="11">
        <f>(X30-M30)/C4</f>
        <v>12.05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345.25</v>
      </c>
      <c r="O9" s="30">
        <v>215917</v>
      </c>
      <c r="P9" s="36">
        <v>216262.25</v>
      </c>
      <c r="S9" s="16" t="s">
        <v>44</v>
      </c>
      <c r="T9" s="22"/>
      <c r="U9" s="42"/>
      <c r="V9" s="27"/>
      <c r="W9" s="33"/>
      <c r="X9" s="40" t="s">
        <v>45</v>
      </c>
      <c r="Y9" s="30">
        <v>345.25</v>
      </c>
      <c r="Z9" s="30">
        <v>241247</v>
      </c>
      <c r="AA9" s="36">
        <v>241592.25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545458.76</v>
      </c>
      <c r="K10" s="27"/>
      <c r="L10" s="43"/>
      <c r="M10" s="40" t="s">
        <v>49</v>
      </c>
      <c r="N10" s="30">
        <v>252741.5</v>
      </c>
      <c r="O10" s="30">
        <v>67468</v>
      </c>
      <c r="P10" s="36">
        <v>320209.5</v>
      </c>
      <c r="S10" s="16" t="s">
        <v>48</v>
      </c>
      <c r="T10" s="16" t="s">
        <v>20</v>
      </c>
      <c r="U10" s="32">
        <v>618293.76000000001</v>
      </c>
      <c r="V10" s="27"/>
      <c r="W10" s="43"/>
      <c r="X10" s="40" t="s">
        <v>49</v>
      </c>
      <c r="Y10" s="30">
        <v>308213.5</v>
      </c>
      <c r="Z10" s="30">
        <v>78028</v>
      </c>
      <c r="AA10" s="36">
        <v>386241.5</v>
      </c>
    </row>
    <row r="11" spans="1:27" ht="21.75" customHeight="1">
      <c r="A11" s="68" t="s">
        <v>50</v>
      </c>
      <c r="B11" s="6" t="s">
        <v>51</v>
      </c>
      <c r="C11" s="12">
        <f>(Y4-N4)/C3</f>
        <v>172.68986895161299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112</v>
      </c>
      <c r="O11" s="30">
        <v>97708</v>
      </c>
      <c r="P11" s="36">
        <v>97820</v>
      </c>
      <c r="S11" s="16" t="s">
        <v>44</v>
      </c>
      <c r="T11" s="16"/>
      <c r="U11" s="32"/>
      <c r="V11" s="27"/>
      <c r="W11" s="43"/>
      <c r="X11" s="40" t="s">
        <v>52</v>
      </c>
      <c r="Y11" s="30">
        <v>112</v>
      </c>
      <c r="Z11" s="30">
        <v>108860</v>
      </c>
      <c r="AA11" s="36">
        <v>108972</v>
      </c>
    </row>
    <row r="12" spans="1:27" ht="21.75" customHeight="1">
      <c r="A12" s="70"/>
      <c r="B12" s="6" t="s">
        <v>53</v>
      </c>
      <c r="C12" s="12">
        <f>(Z4-O4)/C4</f>
        <v>4589.9676666666701</v>
      </c>
      <c r="D12" s="8" t="s">
        <v>9</v>
      </c>
      <c r="H12" s="16" t="s">
        <v>54</v>
      </c>
      <c r="I12" s="16" t="s">
        <v>20</v>
      </c>
      <c r="J12" s="32">
        <v>14819.85</v>
      </c>
      <c r="K12" s="27"/>
      <c r="L12" s="43"/>
      <c r="M12" s="40" t="s">
        <v>55</v>
      </c>
      <c r="N12" s="30">
        <v>198396.56</v>
      </c>
      <c r="O12" s="30">
        <v>34927</v>
      </c>
      <c r="P12" s="36">
        <v>233323.56</v>
      </c>
      <c r="S12" s="16" t="s">
        <v>54</v>
      </c>
      <c r="T12" s="16" t="s">
        <v>20</v>
      </c>
      <c r="U12" s="32">
        <v>14809.85</v>
      </c>
      <c r="V12" s="27"/>
      <c r="W12" s="43"/>
      <c r="X12" s="40" t="s">
        <v>55</v>
      </c>
      <c r="Y12" s="30">
        <v>218017.56</v>
      </c>
      <c r="Z12" s="30">
        <v>38994</v>
      </c>
      <c r="AA12" s="36">
        <v>257011.56</v>
      </c>
    </row>
    <row r="13" spans="1:27" ht="21.75" customHeight="1">
      <c r="A13" s="68" t="s">
        <v>56</v>
      </c>
      <c r="B13" s="6" t="s">
        <v>93</v>
      </c>
      <c r="C13" s="13">
        <f>(SUM(AA5:AA6)-SUM(P5:P6))/(AA4-AA7-(P4-P7))</f>
        <v>0.227433343777632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373763.83</v>
      </c>
      <c r="O13" s="30">
        <v>135420.6</v>
      </c>
      <c r="P13" s="36">
        <v>509184.43</v>
      </c>
      <c r="S13" s="16" t="s">
        <v>44</v>
      </c>
      <c r="T13" s="16"/>
      <c r="U13" s="32"/>
      <c r="V13" s="27"/>
      <c r="W13" s="43"/>
      <c r="X13" s="40" t="s">
        <v>58</v>
      </c>
      <c r="Y13" s="30">
        <v>431102.83</v>
      </c>
      <c r="Z13" s="30">
        <v>161336.6</v>
      </c>
      <c r="AA13" s="36">
        <v>592439.43000000005</v>
      </c>
    </row>
    <row r="14" spans="1:27" ht="21.75" customHeight="1">
      <c r="A14" s="69"/>
      <c r="B14" s="6" t="s">
        <v>59</v>
      </c>
      <c r="C14" s="13">
        <f>(AA7-P7)/(AA4-P4)</f>
        <v>0.14968304286016201</v>
      </c>
      <c r="D14" s="8" t="s">
        <v>9</v>
      </c>
      <c r="H14" s="16" t="s">
        <v>60</v>
      </c>
      <c r="I14" s="16" t="s">
        <v>20</v>
      </c>
      <c r="J14" s="32">
        <v>1177473.71</v>
      </c>
      <c r="K14" s="27"/>
      <c r="L14" s="43"/>
      <c r="M14" s="40" t="s">
        <v>61</v>
      </c>
      <c r="N14" s="30">
        <v>732434.75</v>
      </c>
      <c r="O14" s="30">
        <v>974183</v>
      </c>
      <c r="P14" s="36">
        <v>1706617.75</v>
      </c>
      <c r="S14" s="16" t="s">
        <v>60</v>
      </c>
      <c r="T14" s="16" t="s">
        <v>20</v>
      </c>
      <c r="U14" s="32">
        <v>1457419.62</v>
      </c>
      <c r="V14" s="27"/>
      <c r="W14" s="43"/>
      <c r="X14" s="40" t="s">
        <v>61</v>
      </c>
      <c r="Y14" s="30">
        <v>944339.25</v>
      </c>
      <c r="Z14" s="30">
        <v>1084240.5</v>
      </c>
      <c r="AA14" s="36">
        <v>2028579.75</v>
      </c>
    </row>
    <row r="15" spans="1:27" ht="21.75" customHeight="1">
      <c r="A15" s="69"/>
      <c r="B15" s="6" t="s">
        <v>62</v>
      </c>
      <c r="C15" s="13">
        <f>(AA17-P17)/(AA4-P4)</f>
        <v>5.9335970529218404E-4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41620.400000000001</v>
      </c>
      <c r="O15" s="30">
        <v>14606.6</v>
      </c>
      <c r="P15" s="36">
        <v>56227</v>
      </c>
      <c r="S15" s="16" t="s">
        <v>44</v>
      </c>
      <c r="T15" s="16"/>
      <c r="U15" s="32"/>
      <c r="V15" s="27"/>
      <c r="W15" s="43"/>
      <c r="X15" s="40" t="s">
        <v>63</v>
      </c>
      <c r="Y15" s="30">
        <v>46130.400000000001</v>
      </c>
      <c r="Z15" s="30">
        <v>14606.6</v>
      </c>
      <c r="AA15" s="36">
        <v>60737</v>
      </c>
    </row>
    <row r="16" spans="1:27" ht="21.75" customHeight="1">
      <c r="A16" s="69"/>
      <c r="B16" s="6" t="s">
        <v>64</v>
      </c>
      <c r="C16" s="13">
        <f>(SUM(AA12:AA13,AA18:AA20)-SUM(P12:P13,P18:P20))/(AA4-P4)</f>
        <v>0.20198797153697201</v>
      </c>
      <c r="D16" s="8" t="s">
        <v>9</v>
      </c>
      <c r="H16" s="16" t="s">
        <v>65</v>
      </c>
      <c r="I16" s="16" t="s">
        <v>66</v>
      </c>
      <c r="J16" s="38">
        <v>471</v>
      </c>
      <c r="K16" s="27"/>
      <c r="L16" s="44"/>
      <c r="M16" s="40" t="s">
        <v>67</v>
      </c>
      <c r="N16" s="30">
        <v>1744</v>
      </c>
      <c r="O16" s="30">
        <v>0</v>
      </c>
      <c r="P16" s="36">
        <v>1744</v>
      </c>
      <c r="S16" s="16" t="s">
        <v>65</v>
      </c>
      <c r="T16" s="16" t="s">
        <v>66</v>
      </c>
      <c r="U16" s="38">
        <v>531</v>
      </c>
      <c r="V16" s="27"/>
      <c r="W16" s="44"/>
      <c r="X16" s="40" t="s">
        <v>67</v>
      </c>
      <c r="Y16" s="30">
        <v>1744</v>
      </c>
      <c r="Z16" s="30">
        <v>0</v>
      </c>
      <c r="AA16" s="36">
        <v>1744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0.45434519706443899</v>
      </c>
      <c r="D17" s="8" t="s">
        <v>9</v>
      </c>
      <c r="H17" s="16" t="s">
        <v>69</v>
      </c>
      <c r="I17" s="16" t="s">
        <v>70</v>
      </c>
      <c r="J17" s="32">
        <v>2079177.21</v>
      </c>
      <c r="K17" s="27"/>
      <c r="L17" s="43"/>
      <c r="M17" s="40" t="s">
        <v>71</v>
      </c>
      <c r="N17" s="30">
        <v>14819.85</v>
      </c>
      <c r="O17" s="30">
        <v>28438.81</v>
      </c>
      <c r="P17" s="36">
        <v>43258.66</v>
      </c>
      <c r="S17" s="16" t="s">
        <v>69</v>
      </c>
      <c r="T17" s="16" t="s">
        <v>70</v>
      </c>
      <c r="U17" s="32">
        <v>2354575.27</v>
      </c>
      <c r="V17" s="27"/>
      <c r="W17" s="43"/>
      <c r="X17" s="40" t="s">
        <v>71</v>
      </c>
      <c r="Y17" s="30">
        <v>14809.85</v>
      </c>
      <c r="Z17" s="30">
        <v>29018.81</v>
      </c>
      <c r="AA17" s="36">
        <v>43828.66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4414.3889808917202</v>
      </c>
      <c r="K18" s="27"/>
      <c r="L18" s="43"/>
      <c r="M18" s="40" t="s">
        <v>73</v>
      </c>
      <c r="N18" s="30">
        <v>1112</v>
      </c>
      <c r="O18" s="30">
        <v>24981</v>
      </c>
      <c r="P18" s="36">
        <v>26093</v>
      </c>
      <c r="S18" s="16" t="s">
        <v>72</v>
      </c>
      <c r="T18" s="16" t="s">
        <v>20</v>
      </c>
      <c r="U18" s="32">
        <v>4434.2283804143099</v>
      </c>
      <c r="V18" s="27"/>
      <c r="W18" s="43"/>
      <c r="X18" s="40" t="s">
        <v>73</v>
      </c>
      <c r="Y18" s="30">
        <v>1668</v>
      </c>
      <c r="Z18" s="30">
        <v>31999</v>
      </c>
      <c r="AA18" s="36">
        <v>33667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1369882.6</v>
      </c>
      <c r="K19" s="27"/>
      <c r="L19" s="43"/>
      <c r="M19" s="40" t="s">
        <v>75</v>
      </c>
      <c r="N19" s="30">
        <v>73914</v>
      </c>
      <c r="O19" s="30">
        <v>92164</v>
      </c>
      <c r="P19" s="36">
        <v>166078</v>
      </c>
      <c r="S19" s="16" t="s">
        <v>74</v>
      </c>
      <c r="T19" s="16" t="s">
        <v>20</v>
      </c>
      <c r="U19" s="32">
        <v>1526982.1</v>
      </c>
      <c r="V19" s="27"/>
      <c r="W19" s="43"/>
      <c r="X19" s="40" t="s">
        <v>75</v>
      </c>
      <c r="Y19" s="30">
        <v>83785</v>
      </c>
      <c r="Z19" s="30">
        <v>114465</v>
      </c>
      <c r="AA19" s="36">
        <v>198250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272036.2</v>
      </c>
      <c r="O20" s="30">
        <v>25043</v>
      </c>
      <c r="P20" s="36">
        <v>297079.2</v>
      </c>
      <c r="S20" s="16" t="s">
        <v>44</v>
      </c>
      <c r="T20" s="16"/>
      <c r="U20" s="32"/>
      <c r="V20" s="27"/>
      <c r="W20" s="43"/>
      <c r="X20" s="40" t="s">
        <v>76</v>
      </c>
      <c r="Y20" s="30">
        <v>314823.2</v>
      </c>
      <c r="Z20" s="30">
        <v>29603</v>
      </c>
      <c r="AA20" s="36">
        <v>344426.2</v>
      </c>
    </row>
    <row r="21" spans="1:27" ht="26.1" customHeight="1">
      <c r="H21" s="16" t="s">
        <v>77</v>
      </c>
      <c r="I21" s="16" t="s">
        <v>20</v>
      </c>
      <c r="J21" s="32">
        <v>177115</v>
      </c>
      <c r="K21" s="27"/>
      <c r="L21" s="43"/>
      <c r="M21" s="40" t="s">
        <v>78</v>
      </c>
      <c r="N21" s="30">
        <v>692.5</v>
      </c>
      <c r="O21" s="30">
        <v>2079</v>
      </c>
      <c r="P21" s="36">
        <v>2771.5</v>
      </c>
      <c r="S21" s="16" t="s">
        <v>77</v>
      </c>
      <c r="T21" s="16" t="s">
        <v>20</v>
      </c>
      <c r="U21" s="32">
        <v>215061</v>
      </c>
      <c r="V21" s="27"/>
      <c r="W21" s="43"/>
      <c r="X21" s="40" t="s">
        <v>78</v>
      </c>
      <c r="Y21" s="30">
        <v>736.5</v>
      </c>
      <c r="Z21" s="30">
        <v>2079</v>
      </c>
      <c r="AA21" s="36">
        <v>2815.5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28438.81</v>
      </c>
      <c r="K23" s="27"/>
      <c r="L23" s="43"/>
      <c r="M23" s="40" t="s">
        <v>80</v>
      </c>
      <c r="N23" s="30">
        <v>18638.2</v>
      </c>
      <c r="O23" s="30">
        <v>10549.6</v>
      </c>
      <c r="P23" s="36">
        <v>29187.8</v>
      </c>
      <c r="S23" s="16" t="s">
        <v>54</v>
      </c>
      <c r="T23" s="16" t="s">
        <v>20</v>
      </c>
      <c r="U23" s="32">
        <v>29018.81</v>
      </c>
      <c r="V23" s="27"/>
      <c r="W23" s="43"/>
      <c r="X23" s="40" t="s">
        <v>80</v>
      </c>
      <c r="Y23" s="30">
        <v>19799.2</v>
      </c>
      <c r="Z23" s="30">
        <v>10549.6</v>
      </c>
      <c r="AA23" s="36">
        <v>30348.799999999999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1474</v>
      </c>
      <c r="P24" s="36">
        <v>2224</v>
      </c>
      <c r="S24" s="16" t="s">
        <v>44</v>
      </c>
      <c r="T24" s="16"/>
      <c r="U24" s="32"/>
      <c r="V24" s="27"/>
      <c r="W24" s="43"/>
      <c r="X24" s="40" t="s">
        <v>81</v>
      </c>
      <c r="Y24" s="30">
        <v>750</v>
      </c>
      <c r="Z24" s="30">
        <v>1474</v>
      </c>
      <c r="AA24" s="36">
        <v>2224</v>
      </c>
    </row>
    <row r="25" spans="1:27" ht="26.1" customHeight="1">
      <c r="H25" s="16" t="s">
        <v>60</v>
      </c>
      <c r="I25" s="16" t="s">
        <v>20</v>
      </c>
      <c r="J25" s="32">
        <v>339996.04</v>
      </c>
      <c r="K25" s="27"/>
      <c r="L25" s="43"/>
      <c r="M25" s="40" t="s">
        <v>82</v>
      </c>
      <c r="N25" s="30">
        <v>16872.36</v>
      </c>
      <c r="O25" s="30">
        <v>14221.56</v>
      </c>
      <c r="P25" s="36">
        <v>31093.919999999998</v>
      </c>
      <c r="S25" s="16" t="s">
        <v>60</v>
      </c>
      <c r="T25" s="16" t="s">
        <v>20</v>
      </c>
      <c r="U25" s="32">
        <v>389617.3</v>
      </c>
      <c r="V25" s="27"/>
      <c r="W25" s="43"/>
      <c r="X25" s="40" t="s">
        <v>82</v>
      </c>
      <c r="Y25" s="30">
        <v>18904.349999999999</v>
      </c>
      <c r="Z25" s="30">
        <v>18456.86</v>
      </c>
      <c r="AA25" s="36">
        <v>37361.21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438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497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14350</v>
      </c>
      <c r="N28" s="24"/>
      <c r="O28" s="24"/>
      <c r="P28" s="24"/>
      <c r="W28" s="49" t="s">
        <v>86</v>
      </c>
      <c r="X28" s="50">
        <v>18490</v>
      </c>
      <c r="Y28" s="24"/>
      <c r="Z28" s="24"/>
      <c r="AA28" s="24"/>
    </row>
    <row r="29" spans="1:27" ht="26.1" customHeight="1">
      <c r="L29" s="51" t="s">
        <v>87</v>
      </c>
      <c r="M29" s="50">
        <v>4470</v>
      </c>
      <c r="N29" s="24"/>
      <c r="O29" s="24"/>
      <c r="P29" s="24"/>
      <c r="W29" s="51" t="s">
        <v>87</v>
      </c>
      <c r="X29" s="50">
        <v>5068</v>
      </c>
      <c r="Y29" s="24"/>
      <c r="Z29" s="24"/>
      <c r="AA29" s="24"/>
    </row>
    <row r="30" spans="1:27" ht="26.1" customHeight="1">
      <c r="L30" s="51" t="s">
        <v>88</v>
      </c>
      <c r="M30" s="50">
        <v>4410</v>
      </c>
      <c r="N30" s="24"/>
      <c r="O30" s="24"/>
      <c r="P30" s="24"/>
      <c r="W30" s="51" t="s">
        <v>88</v>
      </c>
      <c r="X30" s="50">
        <v>5133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19" sqref="A1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5" t="s">
        <v>0</v>
      </c>
      <c r="B1" s="65"/>
      <c r="C1" s="65"/>
      <c r="H1" s="66" t="s">
        <v>105</v>
      </c>
      <c r="I1" s="66"/>
      <c r="J1" s="66"/>
      <c r="K1" s="66"/>
      <c r="L1" s="66"/>
      <c r="M1" s="66"/>
      <c r="N1" s="66"/>
      <c r="O1" s="66"/>
      <c r="P1" s="24"/>
      <c r="S1" s="66" t="s">
        <v>102</v>
      </c>
      <c r="T1" s="66"/>
      <c r="U1" s="66"/>
      <c r="V1" s="66"/>
      <c r="W1" s="66"/>
      <c r="X1" s="66"/>
      <c r="Y1" s="66"/>
      <c r="Z1" s="66"/>
      <c r="AA1" s="24"/>
    </row>
    <row r="2" spans="1:27" ht="21.75" customHeight="1">
      <c r="A2" s="3" t="s">
        <v>3</v>
      </c>
      <c r="B2" s="4" t="s">
        <v>4</v>
      </c>
      <c r="C2" s="3" t="s">
        <v>106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4712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83</v>
      </c>
      <c r="D4" s="8" t="s">
        <v>9</v>
      </c>
      <c r="H4" s="16" t="s">
        <v>19</v>
      </c>
      <c r="I4" s="16" t="s">
        <v>20</v>
      </c>
      <c r="J4" s="32">
        <v>3994586.4</v>
      </c>
      <c r="K4" s="27" t="s">
        <v>21</v>
      </c>
      <c r="L4" s="33">
        <v>0.23769999999999999</v>
      </c>
      <c r="M4" s="34" t="s">
        <v>22</v>
      </c>
      <c r="N4" s="35">
        <v>2336760.41</v>
      </c>
      <c r="O4" s="35">
        <v>1657825.99</v>
      </c>
      <c r="P4" s="36">
        <v>3994586.4</v>
      </c>
      <c r="S4" s="16" t="s">
        <v>19</v>
      </c>
      <c r="T4" s="16" t="s">
        <v>20</v>
      </c>
      <c r="U4" s="32">
        <v>5256649.32</v>
      </c>
      <c r="V4" s="27" t="s">
        <v>21</v>
      </c>
      <c r="W4" s="33">
        <v>0.22209999999999999</v>
      </c>
      <c r="X4" s="34" t="s">
        <v>22</v>
      </c>
      <c r="Y4" s="35">
        <v>3177472.11</v>
      </c>
      <c r="Z4" s="35">
        <v>2079177.21</v>
      </c>
      <c r="AA4" s="36">
        <v>5256649.32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2336760.41</v>
      </c>
      <c r="K5" s="27" t="s">
        <v>26</v>
      </c>
      <c r="L5" s="33">
        <v>1.0667602533268501E-2</v>
      </c>
      <c r="M5" s="37" t="s">
        <v>27</v>
      </c>
      <c r="N5" s="30">
        <v>558660.71</v>
      </c>
      <c r="O5" s="30">
        <v>204982.1</v>
      </c>
      <c r="P5" s="36">
        <v>763642.81</v>
      </c>
      <c r="S5" s="16" t="s">
        <v>25</v>
      </c>
      <c r="T5" s="16" t="s">
        <v>20</v>
      </c>
      <c r="U5" s="32">
        <v>3177472.11</v>
      </c>
      <c r="V5" s="27" t="s">
        <v>26</v>
      </c>
      <c r="W5" s="33">
        <v>8.2293220199060203E-3</v>
      </c>
      <c r="X5" s="37" t="s">
        <v>27</v>
      </c>
      <c r="Y5" s="30">
        <v>732415.48</v>
      </c>
      <c r="Z5" s="30">
        <v>221360.51</v>
      </c>
      <c r="AA5" s="36">
        <v>953775.99</v>
      </c>
    </row>
    <row r="6" spans="1:27" ht="21.75" customHeight="1">
      <c r="A6" s="69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16459</v>
      </c>
      <c r="K6" s="27" t="s">
        <v>31</v>
      </c>
      <c r="L6" s="39">
        <v>0.243750940022226</v>
      </c>
      <c r="M6" s="40" t="s">
        <v>32</v>
      </c>
      <c r="N6" s="30">
        <v>81308.320000000007</v>
      </c>
      <c r="O6" s="30">
        <v>32745.68</v>
      </c>
      <c r="P6" s="36">
        <v>114054</v>
      </c>
      <c r="S6" s="16" t="s">
        <v>29</v>
      </c>
      <c r="T6" s="16" t="s">
        <v>30</v>
      </c>
      <c r="U6" s="38">
        <v>21171</v>
      </c>
      <c r="V6" s="27" t="s">
        <v>31</v>
      </c>
      <c r="W6" s="39">
        <v>0.234323827787698</v>
      </c>
      <c r="X6" s="40" t="s">
        <v>32</v>
      </c>
      <c r="Y6" s="30">
        <v>81308.320000000007</v>
      </c>
      <c r="Z6" s="30">
        <v>32745.68</v>
      </c>
      <c r="AA6" s="36">
        <v>114054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141.97462847074601</v>
      </c>
      <c r="K7" s="27" t="s">
        <v>36</v>
      </c>
      <c r="L7" s="41">
        <v>0.45029797327703303</v>
      </c>
      <c r="M7" s="40" t="s">
        <v>37</v>
      </c>
      <c r="N7" s="30">
        <v>246743.09</v>
      </c>
      <c r="O7" s="30">
        <v>55095.49</v>
      </c>
      <c r="P7" s="36">
        <v>301838.58</v>
      </c>
      <c r="S7" s="16" t="s">
        <v>35</v>
      </c>
      <c r="T7" s="16" t="s">
        <v>20</v>
      </c>
      <c r="U7" s="32">
        <v>150.08606631713201</v>
      </c>
      <c r="V7" s="27" t="s">
        <v>36</v>
      </c>
      <c r="W7" s="41">
        <v>0.46877061222718203</v>
      </c>
      <c r="X7" s="40" t="s">
        <v>37</v>
      </c>
      <c r="Y7" s="30">
        <v>363749.91</v>
      </c>
      <c r="Z7" s="30">
        <v>85889.85</v>
      </c>
      <c r="AA7" s="36">
        <v>449639.76</v>
      </c>
    </row>
    <row r="8" spans="1:27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677472.65</v>
      </c>
      <c r="K8" s="27"/>
      <c r="L8" s="43"/>
      <c r="M8" s="40" t="s">
        <v>41</v>
      </c>
      <c r="N8" s="30">
        <v>5</v>
      </c>
      <c r="O8" s="30">
        <v>0</v>
      </c>
      <c r="P8" s="36">
        <v>5</v>
      </c>
      <c r="S8" s="16" t="s">
        <v>40</v>
      </c>
      <c r="T8" s="22" t="s">
        <v>20</v>
      </c>
      <c r="U8" s="42">
        <v>1026913.65</v>
      </c>
      <c r="V8" s="27"/>
      <c r="W8" s="43"/>
      <c r="X8" s="40" t="s">
        <v>41</v>
      </c>
      <c r="Y8" s="30">
        <v>5</v>
      </c>
      <c r="Z8" s="30">
        <v>0</v>
      </c>
      <c r="AA8" s="36">
        <v>5</v>
      </c>
    </row>
    <row r="9" spans="1:27" ht="21.75" customHeight="1">
      <c r="A9" s="10" t="s">
        <v>42</v>
      </c>
      <c r="B9" s="6" t="s">
        <v>43</v>
      </c>
      <c r="C9" s="11">
        <f>(X30-M30)/C4</f>
        <v>11.7710843373494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267.25</v>
      </c>
      <c r="O9" s="30">
        <v>175479</v>
      </c>
      <c r="P9" s="36">
        <v>175746.25</v>
      </c>
      <c r="S9" s="16" t="s">
        <v>44</v>
      </c>
      <c r="T9" s="22"/>
      <c r="U9" s="42"/>
      <c r="V9" s="27"/>
      <c r="W9" s="33"/>
      <c r="X9" s="40" t="s">
        <v>45</v>
      </c>
      <c r="Y9" s="30">
        <v>345.25</v>
      </c>
      <c r="Z9" s="30">
        <v>215917</v>
      </c>
      <c r="AA9" s="36">
        <v>216262.25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414993.76</v>
      </c>
      <c r="K10" s="27"/>
      <c r="L10" s="43"/>
      <c r="M10" s="40" t="s">
        <v>49</v>
      </c>
      <c r="N10" s="30">
        <v>186089.5</v>
      </c>
      <c r="O10" s="30">
        <v>51948</v>
      </c>
      <c r="P10" s="36">
        <v>238037.5</v>
      </c>
      <c r="S10" s="16" t="s">
        <v>48</v>
      </c>
      <c r="T10" s="16" t="s">
        <v>20</v>
      </c>
      <c r="U10" s="32">
        <v>545458.76</v>
      </c>
      <c r="V10" s="27"/>
      <c r="W10" s="43"/>
      <c r="X10" s="40" t="s">
        <v>49</v>
      </c>
      <c r="Y10" s="30">
        <v>252741.5</v>
      </c>
      <c r="Z10" s="30">
        <v>67468</v>
      </c>
      <c r="AA10" s="36">
        <v>320209.5</v>
      </c>
    </row>
    <row r="11" spans="1:27" ht="21.75" customHeight="1">
      <c r="A11" s="68" t="s">
        <v>50</v>
      </c>
      <c r="B11" s="6" t="s">
        <v>51</v>
      </c>
      <c r="C11" s="12">
        <f>(Y4-N4)/C3</f>
        <v>178.419291171477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102</v>
      </c>
      <c r="O11" s="30">
        <v>81232</v>
      </c>
      <c r="P11" s="36">
        <v>81334</v>
      </c>
      <c r="S11" s="16" t="s">
        <v>44</v>
      </c>
      <c r="T11" s="16"/>
      <c r="U11" s="32"/>
      <c r="V11" s="27"/>
      <c r="W11" s="43"/>
      <c r="X11" s="40" t="s">
        <v>52</v>
      </c>
      <c r="Y11" s="30">
        <v>112</v>
      </c>
      <c r="Z11" s="30">
        <v>97708</v>
      </c>
      <c r="AA11" s="36">
        <v>97820</v>
      </c>
    </row>
    <row r="12" spans="1:27" ht="21.75" customHeight="1">
      <c r="A12" s="70"/>
      <c r="B12" s="6" t="s">
        <v>53</v>
      </c>
      <c r="C12" s="12">
        <f>(Z4-O4)/C4</f>
        <v>5076.5207228915697</v>
      </c>
      <c r="D12" s="8" t="s">
        <v>9</v>
      </c>
      <c r="H12" s="16" t="s">
        <v>54</v>
      </c>
      <c r="I12" s="16" t="s">
        <v>20</v>
      </c>
      <c r="J12" s="32">
        <v>15069.85</v>
      </c>
      <c r="K12" s="27"/>
      <c r="L12" s="43"/>
      <c r="M12" s="40" t="s">
        <v>55</v>
      </c>
      <c r="N12" s="30">
        <v>149858.56</v>
      </c>
      <c r="O12" s="30">
        <v>29541</v>
      </c>
      <c r="P12" s="36">
        <v>179399.56</v>
      </c>
      <c r="S12" s="16" t="s">
        <v>54</v>
      </c>
      <c r="T12" s="16" t="s">
        <v>20</v>
      </c>
      <c r="U12" s="32">
        <v>14819.85</v>
      </c>
      <c r="V12" s="27"/>
      <c r="W12" s="43"/>
      <c r="X12" s="40" t="s">
        <v>55</v>
      </c>
      <c r="Y12" s="30">
        <v>198396.56</v>
      </c>
      <c r="Z12" s="30">
        <v>34927</v>
      </c>
      <c r="AA12" s="36">
        <v>233323.56</v>
      </c>
    </row>
    <row r="13" spans="1:27" ht="21.75" customHeight="1">
      <c r="A13" s="68" t="s">
        <v>56</v>
      </c>
      <c r="B13" s="6" t="s">
        <v>93</v>
      </c>
      <c r="C13" s="13">
        <f>(SUM(AA5:AA6)-SUM(P5:P6))/(AA4-AA7-(P4-P7))</f>
        <v>0.170636012325075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307006.83</v>
      </c>
      <c r="O13" s="30">
        <v>116655.6</v>
      </c>
      <c r="P13" s="36">
        <v>423662.43</v>
      </c>
      <c r="S13" s="16" t="s">
        <v>44</v>
      </c>
      <c r="T13" s="16"/>
      <c r="U13" s="32"/>
      <c r="V13" s="27"/>
      <c r="W13" s="43"/>
      <c r="X13" s="40" t="s">
        <v>58</v>
      </c>
      <c r="Y13" s="30">
        <v>373763.83</v>
      </c>
      <c r="Z13" s="30">
        <v>135420.6</v>
      </c>
      <c r="AA13" s="36">
        <v>509184.43</v>
      </c>
    </row>
    <row r="14" spans="1:27" ht="21.75" customHeight="1">
      <c r="A14" s="69"/>
      <c r="B14" s="6" t="s">
        <v>59</v>
      </c>
      <c r="C14" s="13">
        <f>(AA7-P7)/(AA4-P4)</f>
        <v>0.11711078557002499</v>
      </c>
      <c r="D14" s="8" t="s">
        <v>9</v>
      </c>
      <c r="H14" s="16" t="s">
        <v>60</v>
      </c>
      <c r="I14" s="16" t="s">
        <v>20</v>
      </c>
      <c r="J14" s="32">
        <v>886712.12</v>
      </c>
      <c r="K14" s="27"/>
      <c r="L14" s="43"/>
      <c r="M14" s="40" t="s">
        <v>61</v>
      </c>
      <c r="N14" s="30">
        <v>456023.75</v>
      </c>
      <c r="O14" s="30">
        <v>739303.7</v>
      </c>
      <c r="P14" s="36">
        <v>1195327.45</v>
      </c>
      <c r="S14" s="16" t="s">
        <v>60</v>
      </c>
      <c r="T14" s="16" t="s">
        <v>20</v>
      </c>
      <c r="U14" s="32">
        <v>1177473.71</v>
      </c>
      <c r="V14" s="27"/>
      <c r="W14" s="43"/>
      <c r="X14" s="40" t="s">
        <v>61</v>
      </c>
      <c r="Y14" s="30">
        <v>732434.75</v>
      </c>
      <c r="Z14" s="30">
        <v>974183</v>
      </c>
      <c r="AA14" s="36">
        <v>1706617.75</v>
      </c>
    </row>
    <row r="15" spans="1:27" ht="21.75" customHeight="1">
      <c r="A15" s="69"/>
      <c r="B15" s="6" t="s">
        <v>62</v>
      </c>
      <c r="C15" s="13">
        <f>(AA17-P17)/(AA4-P4)</f>
        <v>5.1186037539237695E-4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35252.400000000001</v>
      </c>
      <c r="O15" s="30">
        <v>14606.6</v>
      </c>
      <c r="P15" s="36">
        <v>49859</v>
      </c>
      <c r="S15" s="16" t="s">
        <v>44</v>
      </c>
      <c r="T15" s="16"/>
      <c r="U15" s="32"/>
      <c r="V15" s="27"/>
      <c r="W15" s="43"/>
      <c r="X15" s="40" t="s">
        <v>63</v>
      </c>
      <c r="Y15" s="30">
        <v>41620.400000000001</v>
      </c>
      <c r="Z15" s="30">
        <v>14606.6</v>
      </c>
      <c r="AA15" s="36">
        <v>56227</v>
      </c>
    </row>
    <row r="16" spans="1:27" ht="21.75" customHeight="1">
      <c r="A16" s="69"/>
      <c r="B16" s="6" t="s">
        <v>64</v>
      </c>
      <c r="C16" s="13">
        <f>(SUM(AA12:AA13,AA18:AA20)-SUM(P12:P13,P18:P20))/(AA4-P4)</f>
        <v>0.20448584290868799</v>
      </c>
      <c r="D16" s="8" t="s">
        <v>9</v>
      </c>
      <c r="H16" s="16" t="s">
        <v>65</v>
      </c>
      <c r="I16" s="16" t="s">
        <v>66</v>
      </c>
      <c r="J16" s="38">
        <v>388</v>
      </c>
      <c r="K16" s="27"/>
      <c r="L16" s="44"/>
      <c r="M16" s="40" t="s">
        <v>67</v>
      </c>
      <c r="N16" s="30">
        <v>1744</v>
      </c>
      <c r="O16" s="30">
        <v>0</v>
      </c>
      <c r="P16" s="36">
        <v>1744</v>
      </c>
      <c r="S16" s="16" t="s">
        <v>65</v>
      </c>
      <c r="T16" s="16" t="s">
        <v>66</v>
      </c>
      <c r="U16" s="38">
        <v>471</v>
      </c>
      <c r="V16" s="27"/>
      <c r="W16" s="44"/>
      <c r="X16" s="40" t="s">
        <v>67</v>
      </c>
      <c r="Y16" s="30">
        <v>1744</v>
      </c>
      <c r="Z16" s="30">
        <v>0</v>
      </c>
      <c r="AA16" s="36">
        <v>1744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0.52723881627074498</v>
      </c>
      <c r="D17" s="8" t="s">
        <v>9</v>
      </c>
      <c r="H17" s="16" t="s">
        <v>69</v>
      </c>
      <c r="I17" s="16" t="s">
        <v>70</v>
      </c>
      <c r="J17" s="32">
        <v>1657825.99</v>
      </c>
      <c r="K17" s="27"/>
      <c r="L17" s="43"/>
      <c r="M17" s="40" t="s">
        <v>71</v>
      </c>
      <c r="N17" s="30">
        <v>15069.85</v>
      </c>
      <c r="O17" s="30">
        <v>27542.81</v>
      </c>
      <c r="P17" s="36">
        <v>42612.66</v>
      </c>
      <c r="S17" s="16" t="s">
        <v>69</v>
      </c>
      <c r="T17" s="16" t="s">
        <v>70</v>
      </c>
      <c r="U17" s="32">
        <v>2079177.21</v>
      </c>
      <c r="V17" s="27"/>
      <c r="W17" s="43"/>
      <c r="X17" s="40" t="s">
        <v>71</v>
      </c>
      <c r="Y17" s="30">
        <v>14819.85</v>
      </c>
      <c r="Z17" s="30">
        <v>28438.81</v>
      </c>
      <c r="AA17" s="36">
        <v>43258.66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4272.7473969072198</v>
      </c>
      <c r="K18" s="27"/>
      <c r="L18" s="43"/>
      <c r="M18" s="40" t="s">
        <v>73</v>
      </c>
      <c r="N18" s="30">
        <v>0</v>
      </c>
      <c r="O18" s="30">
        <v>13308</v>
      </c>
      <c r="P18" s="36">
        <v>13308</v>
      </c>
      <c r="S18" s="16" t="s">
        <v>72</v>
      </c>
      <c r="T18" s="16" t="s">
        <v>20</v>
      </c>
      <c r="U18" s="32">
        <v>4414.3889808917202</v>
      </c>
      <c r="V18" s="27"/>
      <c r="W18" s="43"/>
      <c r="X18" s="40" t="s">
        <v>73</v>
      </c>
      <c r="Y18" s="30">
        <v>1112</v>
      </c>
      <c r="Z18" s="30">
        <v>24981</v>
      </c>
      <c r="AA18" s="36">
        <v>26093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1062569.3</v>
      </c>
      <c r="K19" s="27"/>
      <c r="L19" s="43"/>
      <c r="M19" s="40" t="s">
        <v>75</v>
      </c>
      <c r="N19" s="30">
        <v>53660</v>
      </c>
      <c r="O19" s="30">
        <v>73259</v>
      </c>
      <c r="P19" s="36">
        <v>126919</v>
      </c>
      <c r="S19" s="16" t="s">
        <v>74</v>
      </c>
      <c r="T19" s="16" t="s">
        <v>20</v>
      </c>
      <c r="U19" s="32">
        <v>1369882.6</v>
      </c>
      <c r="V19" s="27"/>
      <c r="W19" s="43"/>
      <c r="X19" s="40" t="s">
        <v>75</v>
      </c>
      <c r="Y19" s="30">
        <v>73914</v>
      </c>
      <c r="Z19" s="30">
        <v>92164</v>
      </c>
      <c r="AA19" s="36">
        <v>166078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211475.20000000001</v>
      </c>
      <c r="O20" s="30">
        <v>18920</v>
      </c>
      <c r="P20" s="36">
        <v>230395.2</v>
      </c>
      <c r="S20" s="16" t="s">
        <v>44</v>
      </c>
      <c r="T20" s="16"/>
      <c r="U20" s="32"/>
      <c r="V20" s="27"/>
      <c r="W20" s="43"/>
      <c r="X20" s="40" t="s">
        <v>76</v>
      </c>
      <c r="Y20" s="30">
        <v>272036.2</v>
      </c>
      <c r="Z20" s="30">
        <v>25043</v>
      </c>
      <c r="AA20" s="36">
        <v>297079.2</v>
      </c>
    </row>
    <row r="21" spans="1:27" ht="26.1" customHeight="1">
      <c r="H21" s="16" t="s">
        <v>77</v>
      </c>
      <c r="I21" s="16" t="s">
        <v>20</v>
      </c>
      <c r="J21" s="32">
        <v>135028</v>
      </c>
      <c r="K21" s="27"/>
      <c r="L21" s="43"/>
      <c r="M21" s="40" t="s">
        <v>78</v>
      </c>
      <c r="N21" s="30">
        <v>688.5</v>
      </c>
      <c r="O21" s="30">
        <v>2079</v>
      </c>
      <c r="P21" s="36">
        <v>2767.5</v>
      </c>
      <c r="S21" s="16" t="s">
        <v>77</v>
      </c>
      <c r="T21" s="16" t="s">
        <v>20</v>
      </c>
      <c r="U21" s="32">
        <v>177115</v>
      </c>
      <c r="V21" s="27"/>
      <c r="W21" s="43"/>
      <c r="X21" s="40" t="s">
        <v>78</v>
      </c>
      <c r="Y21" s="30">
        <v>692.5</v>
      </c>
      <c r="Z21" s="30">
        <v>2079</v>
      </c>
      <c r="AA21" s="36">
        <v>2771.5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27542.81</v>
      </c>
      <c r="K23" s="27"/>
      <c r="L23" s="43"/>
      <c r="M23" s="40" t="s">
        <v>80</v>
      </c>
      <c r="N23" s="30">
        <v>17225.2</v>
      </c>
      <c r="O23" s="30">
        <v>10549.6</v>
      </c>
      <c r="P23" s="36">
        <v>27774.799999999999</v>
      </c>
      <c r="S23" s="16" t="s">
        <v>54</v>
      </c>
      <c r="T23" s="16" t="s">
        <v>20</v>
      </c>
      <c r="U23" s="32">
        <v>28438.81</v>
      </c>
      <c r="V23" s="27"/>
      <c r="W23" s="43"/>
      <c r="X23" s="40" t="s">
        <v>80</v>
      </c>
      <c r="Y23" s="30">
        <v>18638.2</v>
      </c>
      <c r="Z23" s="30">
        <v>10549.6</v>
      </c>
      <c r="AA23" s="36">
        <v>29187.8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1474</v>
      </c>
      <c r="P24" s="36">
        <v>2224</v>
      </c>
      <c r="S24" s="16" t="s">
        <v>44</v>
      </c>
      <c r="T24" s="16"/>
      <c r="U24" s="32"/>
      <c r="V24" s="27"/>
      <c r="W24" s="43"/>
      <c r="X24" s="40" t="s">
        <v>81</v>
      </c>
      <c r="Y24" s="30">
        <v>750</v>
      </c>
      <c r="Z24" s="30">
        <v>1474</v>
      </c>
      <c r="AA24" s="36">
        <v>2224</v>
      </c>
    </row>
    <row r="25" spans="1:27" ht="26.1" customHeight="1">
      <c r="H25" s="16" t="s">
        <v>60</v>
      </c>
      <c r="I25" s="16" t="s">
        <v>20</v>
      </c>
      <c r="J25" s="32">
        <v>292823.27</v>
      </c>
      <c r="K25" s="27"/>
      <c r="L25" s="43"/>
      <c r="M25" s="40" t="s">
        <v>82</v>
      </c>
      <c r="N25" s="30">
        <v>14830.25</v>
      </c>
      <c r="O25" s="30">
        <v>9104.41</v>
      </c>
      <c r="P25" s="36">
        <v>23934.66</v>
      </c>
      <c r="S25" s="16" t="s">
        <v>60</v>
      </c>
      <c r="T25" s="16" t="s">
        <v>20</v>
      </c>
      <c r="U25" s="32">
        <v>339996.04</v>
      </c>
      <c r="V25" s="27"/>
      <c r="W25" s="43"/>
      <c r="X25" s="40" t="s">
        <v>82</v>
      </c>
      <c r="Y25" s="30">
        <v>16872.36</v>
      </c>
      <c r="Z25" s="30">
        <v>14221.56</v>
      </c>
      <c r="AA25" s="36">
        <v>31093.919999999998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54">
        <v>366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438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10210</v>
      </c>
      <c r="N28" s="24"/>
      <c r="O28" s="24"/>
      <c r="P28" s="24"/>
      <c r="W28" s="49" t="s">
        <v>86</v>
      </c>
      <c r="X28" s="50">
        <v>14350</v>
      </c>
      <c r="Y28" s="24"/>
      <c r="Z28" s="24"/>
      <c r="AA28" s="24"/>
    </row>
    <row r="29" spans="1:27" ht="26.1" customHeight="1">
      <c r="L29" s="51" t="s">
        <v>87</v>
      </c>
      <c r="M29" s="50">
        <v>3336</v>
      </c>
      <c r="N29" s="24">
        <v>1624</v>
      </c>
      <c r="O29" s="24"/>
      <c r="P29" s="24"/>
      <c r="W29" s="51" t="s">
        <v>87</v>
      </c>
      <c r="X29" s="50">
        <v>4470</v>
      </c>
      <c r="Y29" s="24"/>
      <c r="Z29" s="24"/>
      <c r="AA29" s="24"/>
    </row>
    <row r="30" spans="1:27" ht="26.1" customHeight="1">
      <c r="L30" s="51" t="s">
        <v>88</v>
      </c>
      <c r="M30" s="50">
        <v>3433</v>
      </c>
      <c r="N30" s="24">
        <v>1448</v>
      </c>
      <c r="O30" s="24"/>
      <c r="P30" s="24"/>
      <c r="W30" s="51" t="s">
        <v>88</v>
      </c>
      <c r="X30" s="50">
        <v>4410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19" sqref="A1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5" t="s">
        <v>0</v>
      </c>
      <c r="B1" s="65"/>
      <c r="C1" s="65"/>
      <c r="H1" s="66" t="s">
        <v>107</v>
      </c>
      <c r="I1" s="66"/>
      <c r="J1" s="66"/>
      <c r="K1" s="66"/>
      <c r="L1" s="66"/>
      <c r="M1" s="66"/>
      <c r="N1" s="66"/>
      <c r="O1" s="66"/>
      <c r="P1" s="24"/>
      <c r="S1" s="66" t="s">
        <v>105</v>
      </c>
      <c r="T1" s="66"/>
      <c r="U1" s="66"/>
      <c r="V1" s="66"/>
      <c r="W1" s="66"/>
      <c r="X1" s="66"/>
      <c r="Y1" s="66"/>
      <c r="Z1" s="66"/>
      <c r="AA1" s="24"/>
    </row>
    <row r="2" spans="1:27" ht="21.75" customHeight="1">
      <c r="A2" s="3" t="s">
        <v>3</v>
      </c>
      <c r="B2" s="4" t="s">
        <v>4</v>
      </c>
      <c r="C2" s="3" t="s">
        <v>108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5445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126</v>
      </c>
      <c r="D4" s="8" t="s">
        <v>9</v>
      </c>
      <c r="H4" s="16" t="s">
        <v>19</v>
      </c>
      <c r="I4" s="16" t="s">
        <v>20</v>
      </c>
      <c r="J4" s="32">
        <f>N4+O4</f>
        <v>2453148.62</v>
      </c>
      <c r="K4" s="27" t="s">
        <v>21</v>
      </c>
      <c r="L4" s="33">
        <f>ROUND((P5+P6)/(P4-P7),4)</f>
        <v>0.25950000000000001</v>
      </c>
      <c r="M4" s="34" t="s">
        <v>22</v>
      </c>
      <c r="N4" s="35">
        <f>SUM(N5:N26)</f>
        <v>1546292.71</v>
      </c>
      <c r="O4" s="35">
        <f>SUM(O5:O25)</f>
        <v>906855.91</v>
      </c>
      <c r="P4" s="36">
        <f t="shared" ref="P4:P25" si="0">SUM(N4:O4)</f>
        <v>2453148.62</v>
      </c>
      <c r="S4" s="16" t="s">
        <v>19</v>
      </c>
      <c r="T4" s="16" t="s">
        <v>20</v>
      </c>
      <c r="U4" s="32">
        <v>3994586.4</v>
      </c>
      <c r="V4" s="27" t="s">
        <v>21</v>
      </c>
      <c r="W4" s="33">
        <v>0.23769999999999999</v>
      </c>
      <c r="X4" s="34" t="s">
        <v>22</v>
      </c>
      <c r="Y4" s="35">
        <v>2336760.41</v>
      </c>
      <c r="Z4" s="35">
        <v>1657825.99</v>
      </c>
      <c r="AA4" s="36">
        <v>3994586.4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1546292.71</v>
      </c>
      <c r="K5" s="27" t="s">
        <v>26</v>
      </c>
      <c r="L5" s="33">
        <f>P17/P4</f>
        <v>1.509597082626E-2</v>
      </c>
      <c r="M5" s="37" t="s">
        <v>27</v>
      </c>
      <c r="N5" s="30">
        <v>338514.24</v>
      </c>
      <c r="O5" s="30">
        <v>143176.51</v>
      </c>
      <c r="P5" s="36">
        <f t="shared" si="0"/>
        <v>481690.75</v>
      </c>
      <c r="S5" s="16" t="s">
        <v>25</v>
      </c>
      <c r="T5" s="16" t="s">
        <v>20</v>
      </c>
      <c r="U5" s="32">
        <v>2336760.41</v>
      </c>
      <c r="V5" s="27" t="s">
        <v>26</v>
      </c>
      <c r="W5" s="33">
        <v>1.0667602533268501E-2</v>
      </c>
      <c r="X5" s="37" t="s">
        <v>27</v>
      </c>
      <c r="Y5" s="30">
        <v>558660.71</v>
      </c>
      <c r="Z5" s="30">
        <v>204982.1</v>
      </c>
      <c r="AA5" s="36">
        <v>763642.81</v>
      </c>
    </row>
    <row r="6" spans="1:27" ht="21.75" customHeight="1">
      <c r="A6" s="69"/>
      <c r="B6" s="6" t="s">
        <v>28</v>
      </c>
      <c r="C6" s="7">
        <f>X28-M28</f>
        <v>4095</v>
      </c>
      <c r="D6" s="8" t="s">
        <v>9</v>
      </c>
      <c r="H6" s="16" t="s">
        <v>29</v>
      </c>
      <c r="I6" s="16" t="s">
        <v>30</v>
      </c>
      <c r="J6" s="38">
        <v>11014</v>
      </c>
      <c r="K6" s="27" t="s">
        <v>31</v>
      </c>
      <c r="L6" s="39">
        <f>(P12+P13+P18+P19+P20)/P4</f>
        <v>0.26142125461603699</v>
      </c>
      <c r="M6" s="40" t="s">
        <v>32</v>
      </c>
      <c r="N6" s="30">
        <v>81308.320000000007</v>
      </c>
      <c r="O6" s="30">
        <v>32745.68</v>
      </c>
      <c r="P6" s="36">
        <f t="shared" si="0"/>
        <v>114054</v>
      </c>
      <c r="S6" s="16" t="s">
        <v>29</v>
      </c>
      <c r="T6" s="16" t="s">
        <v>30</v>
      </c>
      <c r="U6" s="38">
        <v>16459</v>
      </c>
      <c r="V6" s="27" t="s">
        <v>31</v>
      </c>
      <c r="W6" s="39">
        <v>0.243750940022226</v>
      </c>
      <c r="X6" s="40" t="s">
        <v>32</v>
      </c>
      <c r="Y6" s="30">
        <v>81308.320000000007</v>
      </c>
      <c r="Z6" s="30">
        <v>32745.68</v>
      </c>
      <c r="AA6" s="36">
        <v>114054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140.39338205919699</v>
      </c>
      <c r="K7" s="27" t="s">
        <v>36</v>
      </c>
      <c r="L7" s="41">
        <f>(P4-P5-P6-P7-P17-P12-P13-P18-P19-P20)/P4</f>
        <v>0.41641415105131302</v>
      </c>
      <c r="M7" s="40" t="s">
        <v>37</v>
      </c>
      <c r="N7" s="30">
        <v>136511.10999999999</v>
      </c>
      <c r="O7" s="30">
        <v>21029.11</v>
      </c>
      <c r="P7" s="36">
        <f t="shared" si="0"/>
        <v>157540.22</v>
      </c>
      <c r="S7" s="16" t="s">
        <v>35</v>
      </c>
      <c r="T7" s="16" t="s">
        <v>20</v>
      </c>
      <c r="U7" s="32">
        <v>141.97462847074601</v>
      </c>
      <c r="V7" s="27" t="s">
        <v>36</v>
      </c>
      <c r="W7" s="41">
        <v>0.45029797327703303</v>
      </c>
      <c r="X7" s="40" t="s">
        <v>37</v>
      </c>
      <c r="Y7" s="30">
        <v>246743.09</v>
      </c>
      <c r="Z7" s="30">
        <v>55095.49</v>
      </c>
      <c r="AA7" s="36">
        <v>301838.58</v>
      </c>
    </row>
    <row r="8" spans="1:27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445935.15</v>
      </c>
      <c r="K8" s="27"/>
      <c r="L8" s="43"/>
      <c r="M8" s="40" t="s">
        <v>41</v>
      </c>
      <c r="N8" s="30">
        <v>5</v>
      </c>
      <c r="O8" s="30">
        <v>0</v>
      </c>
      <c r="P8" s="36">
        <f t="shared" si="0"/>
        <v>5</v>
      </c>
      <c r="S8" s="16" t="s">
        <v>40</v>
      </c>
      <c r="T8" s="22" t="s">
        <v>20</v>
      </c>
      <c r="U8" s="42">
        <v>677472.65</v>
      </c>
      <c r="V8" s="27"/>
      <c r="W8" s="43"/>
      <c r="X8" s="40" t="s">
        <v>41</v>
      </c>
      <c r="Y8" s="30">
        <v>5</v>
      </c>
      <c r="Z8" s="30">
        <v>0</v>
      </c>
      <c r="AA8" s="36">
        <v>5</v>
      </c>
    </row>
    <row r="9" spans="1:27" ht="21.75" customHeight="1">
      <c r="A9" s="10" t="s">
        <v>42</v>
      </c>
      <c r="B9" s="6" t="s">
        <v>43</v>
      </c>
      <c r="C9" s="11">
        <f>(X30-M30)/C4</f>
        <v>11.492063492063499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267.25</v>
      </c>
      <c r="O9" s="30">
        <v>100269</v>
      </c>
      <c r="P9" s="36">
        <f t="shared" si="0"/>
        <v>100536.25</v>
      </c>
      <c r="S9" s="16" t="s">
        <v>44</v>
      </c>
      <c r="T9" s="22"/>
      <c r="U9" s="42"/>
      <c r="V9" s="27"/>
      <c r="W9" s="33"/>
      <c r="X9" s="40" t="s">
        <v>45</v>
      </c>
      <c r="Y9" s="30">
        <v>267.25</v>
      </c>
      <c r="Z9" s="30">
        <v>175479</v>
      </c>
      <c r="AA9" s="36">
        <v>175746.25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f>N12+N18+N19+N20</f>
        <v>266873.76</v>
      </c>
      <c r="K10" s="27"/>
      <c r="L10" s="43"/>
      <c r="M10" s="40" t="s">
        <v>49</v>
      </c>
      <c r="N10" s="30">
        <v>108541.5</v>
      </c>
      <c r="O10" s="30">
        <v>24292</v>
      </c>
      <c r="P10" s="36">
        <f t="shared" si="0"/>
        <v>132833.5</v>
      </c>
      <c r="S10" s="16" t="s">
        <v>48</v>
      </c>
      <c r="T10" s="16" t="s">
        <v>20</v>
      </c>
      <c r="U10" s="32">
        <v>414993.76</v>
      </c>
      <c r="V10" s="27"/>
      <c r="W10" s="43"/>
      <c r="X10" s="40" t="s">
        <v>49</v>
      </c>
      <c r="Y10" s="30">
        <v>186089.5</v>
      </c>
      <c r="Z10" s="30">
        <v>51948</v>
      </c>
      <c r="AA10" s="36">
        <v>238037.5</v>
      </c>
    </row>
    <row r="11" spans="1:27" ht="21.75" customHeight="1">
      <c r="A11" s="68" t="s">
        <v>50</v>
      </c>
      <c r="B11" s="6" t="s">
        <v>51</v>
      </c>
      <c r="C11" s="12">
        <f>(Y4-N4)/C3</f>
        <v>145.17313131313099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94</v>
      </c>
      <c r="O11" s="30">
        <v>51682</v>
      </c>
      <c r="P11" s="36">
        <f t="shared" si="0"/>
        <v>51776</v>
      </c>
      <c r="S11" s="16" t="s">
        <v>44</v>
      </c>
      <c r="T11" s="16"/>
      <c r="U11" s="32"/>
      <c r="V11" s="27"/>
      <c r="W11" s="43"/>
      <c r="X11" s="40" t="s">
        <v>52</v>
      </c>
      <c r="Y11" s="30">
        <v>102</v>
      </c>
      <c r="Z11" s="30">
        <v>81232</v>
      </c>
      <c r="AA11" s="36">
        <v>81334</v>
      </c>
    </row>
    <row r="12" spans="1:27" ht="21.75" customHeight="1">
      <c r="A12" s="70"/>
      <c r="B12" s="6" t="s">
        <v>53</v>
      </c>
      <c r="C12" s="12">
        <f>(Z4-O4)/C4</f>
        <v>5960.08</v>
      </c>
      <c r="D12" s="8" t="s">
        <v>9</v>
      </c>
      <c r="H12" s="16" t="s">
        <v>54</v>
      </c>
      <c r="I12" s="16" t="s">
        <v>20</v>
      </c>
      <c r="J12" s="32">
        <f>N17</f>
        <v>10609.85</v>
      </c>
      <c r="K12" s="27"/>
      <c r="L12" s="43"/>
      <c r="M12" s="40" t="s">
        <v>55</v>
      </c>
      <c r="N12" s="30">
        <v>87848.56</v>
      </c>
      <c r="O12" s="30">
        <v>17755</v>
      </c>
      <c r="P12" s="36">
        <f t="shared" si="0"/>
        <v>105603.56</v>
      </c>
      <c r="S12" s="16" t="s">
        <v>54</v>
      </c>
      <c r="T12" s="16" t="s">
        <v>20</v>
      </c>
      <c r="U12" s="32">
        <v>15069.85</v>
      </c>
      <c r="V12" s="27"/>
      <c r="W12" s="43"/>
      <c r="X12" s="40" t="s">
        <v>55</v>
      </c>
      <c r="Y12" s="30">
        <v>149858.56</v>
      </c>
      <c r="Z12" s="30">
        <v>29541</v>
      </c>
      <c r="AA12" s="36">
        <v>179399.56</v>
      </c>
    </row>
    <row r="13" spans="1:27" ht="21.75" customHeight="1">
      <c r="A13" s="68" t="s">
        <v>56</v>
      </c>
      <c r="B13" s="6" t="s">
        <v>93</v>
      </c>
      <c r="C13" s="13">
        <f>(SUM(AA5:AA6)-SUM(P5:P6))/(AA4-AA7-(P4-P7))</f>
        <v>0.201806674383291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234001.83</v>
      </c>
      <c r="O13" s="30">
        <v>81373.600000000006</v>
      </c>
      <c r="P13" s="36">
        <f t="shared" si="0"/>
        <v>315375.43</v>
      </c>
      <c r="S13" s="16" t="s">
        <v>44</v>
      </c>
      <c r="T13" s="16"/>
      <c r="U13" s="32"/>
      <c r="V13" s="27"/>
      <c r="W13" s="43"/>
      <c r="X13" s="40" t="s">
        <v>58</v>
      </c>
      <c r="Y13" s="30">
        <v>307006.83</v>
      </c>
      <c r="Z13" s="30">
        <v>116655.6</v>
      </c>
      <c r="AA13" s="36">
        <v>423662.43</v>
      </c>
    </row>
    <row r="14" spans="1:27" ht="21.75" customHeight="1">
      <c r="A14" s="69"/>
      <c r="B14" s="6" t="s">
        <v>59</v>
      </c>
      <c r="C14" s="13">
        <f>(AA7-P7)/(AA4-P4)</f>
        <v>9.3612834635466199E-2</v>
      </c>
      <c r="D14" s="8" t="s">
        <v>9</v>
      </c>
      <c r="H14" s="16" t="s">
        <v>60</v>
      </c>
      <c r="I14" s="16" t="s">
        <v>20</v>
      </c>
      <c r="J14" s="32">
        <f>N5+N6+N7</f>
        <v>556333.67000000004</v>
      </c>
      <c r="K14" s="27"/>
      <c r="L14" s="43"/>
      <c r="M14" s="40" t="s">
        <v>61</v>
      </c>
      <c r="N14" s="30">
        <v>308253.25</v>
      </c>
      <c r="O14" s="30">
        <v>338492</v>
      </c>
      <c r="P14" s="36">
        <f t="shared" si="0"/>
        <v>646745.25</v>
      </c>
      <c r="S14" s="16" t="s">
        <v>60</v>
      </c>
      <c r="T14" s="16" t="s">
        <v>20</v>
      </c>
      <c r="U14" s="32">
        <v>886712.12</v>
      </c>
      <c r="V14" s="27"/>
      <c r="W14" s="43"/>
      <c r="X14" s="40" t="s">
        <v>61</v>
      </c>
      <c r="Y14" s="30">
        <v>456023.75</v>
      </c>
      <c r="Z14" s="30">
        <v>739303.7</v>
      </c>
      <c r="AA14" s="36">
        <v>1195327.45</v>
      </c>
    </row>
    <row r="15" spans="1:27" ht="21.75" customHeight="1">
      <c r="A15" s="69"/>
      <c r="B15" s="6" t="s">
        <v>62</v>
      </c>
      <c r="C15" s="13">
        <f>(AA17-P17)/(AA4-P4)</f>
        <v>3.6199969096384799E-3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29041.4</v>
      </c>
      <c r="O15" s="30">
        <v>14156.6</v>
      </c>
      <c r="P15" s="36">
        <f t="shared" si="0"/>
        <v>43198</v>
      </c>
      <c r="S15" s="16" t="s">
        <v>44</v>
      </c>
      <c r="T15" s="16"/>
      <c r="U15" s="32"/>
      <c r="V15" s="27"/>
      <c r="W15" s="43"/>
      <c r="X15" s="40" t="s">
        <v>63</v>
      </c>
      <c r="Y15" s="30">
        <v>35252.400000000001</v>
      </c>
      <c r="Z15" s="30">
        <v>14606.6</v>
      </c>
      <c r="AA15" s="36">
        <v>49859</v>
      </c>
    </row>
    <row r="16" spans="1:27" ht="21.75" customHeight="1">
      <c r="A16" s="69"/>
      <c r="B16" s="6" t="s">
        <v>64</v>
      </c>
      <c r="C16" s="13">
        <f>(SUM(AA12:AA13,AA18:AA20)-SUM(P12:P13,P18:P20))/(AA4-P4)</f>
        <v>0.21562920301590099</v>
      </c>
      <c r="D16" s="8" t="s">
        <v>9</v>
      </c>
      <c r="H16" s="16" t="s">
        <v>65</v>
      </c>
      <c r="I16" s="16" t="s">
        <v>66</v>
      </c>
      <c r="J16" s="38">
        <v>262</v>
      </c>
      <c r="K16" s="27"/>
      <c r="L16" s="44"/>
      <c r="M16" s="40" t="s">
        <v>67</v>
      </c>
      <c r="N16" s="30">
        <v>1744</v>
      </c>
      <c r="O16" s="30">
        <v>0</v>
      </c>
      <c r="P16" s="36">
        <f t="shared" si="0"/>
        <v>1744</v>
      </c>
      <c r="S16" s="16" t="s">
        <v>65</v>
      </c>
      <c r="T16" s="16" t="s">
        <v>66</v>
      </c>
      <c r="U16" s="38">
        <v>388</v>
      </c>
      <c r="V16" s="27"/>
      <c r="W16" s="44"/>
      <c r="X16" s="40" t="s">
        <v>67</v>
      </c>
      <c r="Y16" s="30">
        <v>1744</v>
      </c>
      <c r="Z16" s="30">
        <v>0</v>
      </c>
      <c r="AA16" s="36">
        <v>1744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0.50422298589307901</v>
      </c>
      <c r="D17" s="8" t="s">
        <v>9</v>
      </c>
      <c r="H17" s="16" t="s">
        <v>69</v>
      </c>
      <c r="I17" s="16" t="s">
        <v>70</v>
      </c>
      <c r="J17" s="32">
        <f>O4</f>
        <v>906855.91</v>
      </c>
      <c r="K17" s="27"/>
      <c r="L17" s="43"/>
      <c r="M17" s="40" t="s">
        <v>71</v>
      </c>
      <c r="N17" s="30">
        <v>10609.85</v>
      </c>
      <c r="O17" s="30">
        <v>26422.81</v>
      </c>
      <c r="P17" s="36">
        <f t="shared" si="0"/>
        <v>37032.660000000003</v>
      </c>
      <c r="S17" s="16" t="s">
        <v>69</v>
      </c>
      <c r="T17" s="16" t="s">
        <v>70</v>
      </c>
      <c r="U17" s="32">
        <v>1657825.99</v>
      </c>
      <c r="V17" s="27"/>
      <c r="W17" s="43"/>
      <c r="X17" s="40" t="s">
        <v>71</v>
      </c>
      <c r="Y17" s="30">
        <v>15069.85</v>
      </c>
      <c r="Z17" s="30">
        <v>27542.81</v>
      </c>
      <c r="AA17" s="36">
        <v>42612.66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f>J17/J16</f>
        <v>3461.2820992366401</v>
      </c>
      <c r="K18" s="27"/>
      <c r="L18" s="43"/>
      <c r="M18" s="40" t="s">
        <v>73</v>
      </c>
      <c r="N18" s="30">
        <v>0</v>
      </c>
      <c r="O18" s="30">
        <v>0</v>
      </c>
      <c r="P18" s="36">
        <f t="shared" si="0"/>
        <v>0</v>
      </c>
      <c r="S18" s="16" t="s">
        <v>72</v>
      </c>
      <c r="T18" s="16" t="s">
        <v>20</v>
      </c>
      <c r="U18" s="32">
        <v>4272.7473969072198</v>
      </c>
      <c r="V18" s="27"/>
      <c r="W18" s="43"/>
      <c r="X18" s="40" t="s">
        <v>73</v>
      </c>
      <c r="Y18" s="30">
        <v>0</v>
      </c>
      <c r="Z18" s="30">
        <v>13308</v>
      </c>
      <c r="AA18" s="36">
        <v>13308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528891.6</v>
      </c>
      <c r="K19" s="27"/>
      <c r="L19" s="43"/>
      <c r="M19" s="40" t="s">
        <v>75</v>
      </c>
      <c r="N19" s="30">
        <v>33516</v>
      </c>
      <c r="O19" s="30">
        <v>29337</v>
      </c>
      <c r="P19" s="36">
        <f t="shared" si="0"/>
        <v>62853</v>
      </c>
      <c r="S19" s="16" t="s">
        <v>74</v>
      </c>
      <c r="T19" s="16" t="s">
        <v>20</v>
      </c>
      <c r="U19" s="32">
        <v>1062569.3</v>
      </c>
      <c r="V19" s="27"/>
      <c r="W19" s="43"/>
      <c r="X19" s="40" t="s">
        <v>75</v>
      </c>
      <c r="Y19" s="30">
        <v>53660</v>
      </c>
      <c r="Z19" s="30">
        <v>73259</v>
      </c>
      <c r="AA19" s="36">
        <v>126919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145509.20000000001</v>
      </c>
      <c r="O20" s="30">
        <v>11964</v>
      </c>
      <c r="P20" s="36">
        <f t="shared" si="0"/>
        <v>157473.20000000001</v>
      </c>
      <c r="S20" s="16" t="s">
        <v>44</v>
      </c>
      <c r="T20" s="16"/>
      <c r="U20" s="32"/>
      <c r="V20" s="27"/>
      <c r="W20" s="43"/>
      <c r="X20" s="40" t="s">
        <v>76</v>
      </c>
      <c r="Y20" s="30">
        <v>211475.20000000001</v>
      </c>
      <c r="Z20" s="30">
        <v>18920</v>
      </c>
      <c r="AA20" s="36">
        <v>230395.2</v>
      </c>
    </row>
    <row r="21" spans="1:27" ht="26.1" customHeight="1">
      <c r="H21" s="16" t="s">
        <v>77</v>
      </c>
      <c r="I21" s="16" t="s">
        <v>20</v>
      </c>
      <c r="J21" s="32">
        <f>O12+O18+O19+O20</f>
        <v>59056</v>
      </c>
      <c r="K21" s="27"/>
      <c r="L21" s="43"/>
      <c r="M21" s="40" t="s">
        <v>78</v>
      </c>
      <c r="N21" s="30">
        <v>688.5</v>
      </c>
      <c r="O21" s="30">
        <v>1879</v>
      </c>
      <c r="P21" s="36">
        <f t="shared" si="0"/>
        <v>2567.5</v>
      </c>
      <c r="S21" s="16" t="s">
        <v>77</v>
      </c>
      <c r="T21" s="16" t="s">
        <v>20</v>
      </c>
      <c r="U21" s="32">
        <v>135028</v>
      </c>
      <c r="V21" s="27"/>
      <c r="W21" s="43"/>
      <c r="X21" s="40" t="s">
        <v>78</v>
      </c>
      <c r="Y21" s="30">
        <v>688.5</v>
      </c>
      <c r="Z21" s="30">
        <v>2079</v>
      </c>
      <c r="AA21" s="36">
        <v>2767.5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f>O17</f>
        <v>26422.81</v>
      </c>
      <c r="K23" s="27"/>
      <c r="L23" s="43"/>
      <c r="M23" s="40" t="s">
        <v>80</v>
      </c>
      <c r="N23" s="30">
        <v>16086.7</v>
      </c>
      <c r="O23" s="30">
        <v>9874.6</v>
      </c>
      <c r="P23" s="36">
        <f t="shared" si="0"/>
        <v>25961.3</v>
      </c>
      <c r="S23" s="16" t="s">
        <v>54</v>
      </c>
      <c r="T23" s="16" t="s">
        <v>20</v>
      </c>
      <c r="U23" s="32">
        <v>27542.81</v>
      </c>
      <c r="V23" s="27"/>
      <c r="W23" s="43"/>
      <c r="X23" s="40" t="s">
        <v>80</v>
      </c>
      <c r="Y23" s="30">
        <v>17225.2</v>
      </c>
      <c r="Z23" s="30">
        <v>10549.6</v>
      </c>
      <c r="AA23" s="36">
        <v>27774.799999999999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1460</v>
      </c>
      <c r="P24" s="36">
        <f t="shared" si="0"/>
        <v>2210</v>
      </c>
      <c r="S24" s="16" t="s">
        <v>44</v>
      </c>
      <c r="T24" s="16"/>
      <c r="U24" s="32"/>
      <c r="V24" s="27"/>
      <c r="W24" s="43"/>
      <c r="X24" s="40" t="s">
        <v>81</v>
      </c>
      <c r="Y24" s="30">
        <v>750</v>
      </c>
      <c r="Z24" s="30">
        <v>1474</v>
      </c>
      <c r="AA24" s="36">
        <v>2224</v>
      </c>
    </row>
    <row r="25" spans="1:27" ht="26.1" customHeight="1">
      <c r="H25" s="16" t="s">
        <v>60</v>
      </c>
      <c r="I25" s="16" t="s">
        <v>20</v>
      </c>
      <c r="J25" s="32">
        <f>(O5+O6+O7)</f>
        <v>196951.3</v>
      </c>
      <c r="K25" s="27"/>
      <c r="L25" s="43"/>
      <c r="M25" s="40" t="s">
        <v>82</v>
      </c>
      <c r="N25" s="30">
        <v>13002</v>
      </c>
      <c r="O25" s="30">
        <v>947</v>
      </c>
      <c r="P25" s="36">
        <f t="shared" si="0"/>
        <v>13949</v>
      </c>
      <c r="S25" s="16" t="s">
        <v>60</v>
      </c>
      <c r="T25" s="16" t="s">
        <v>20</v>
      </c>
      <c r="U25" s="32">
        <v>292823.27</v>
      </c>
      <c r="V25" s="27"/>
      <c r="W25" s="43"/>
      <c r="X25" s="40" t="s">
        <v>82</v>
      </c>
      <c r="Y25" s="30">
        <v>14830.25</v>
      </c>
      <c r="Z25" s="30">
        <v>9104.41</v>
      </c>
      <c r="AA25" s="36">
        <v>23934.66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231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54">
        <v>366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6115</v>
      </c>
      <c r="N28" s="24"/>
      <c r="O28" s="24"/>
      <c r="P28" s="24"/>
      <c r="W28" s="49" t="s">
        <v>86</v>
      </c>
      <c r="X28" s="50">
        <v>10210</v>
      </c>
      <c r="Y28" s="24"/>
      <c r="Z28" s="24"/>
      <c r="AA28" s="24"/>
    </row>
    <row r="29" spans="1:27" ht="26.1" customHeight="1">
      <c r="L29" s="51" t="s">
        <v>87</v>
      </c>
      <c r="M29" s="50">
        <v>1712</v>
      </c>
      <c r="N29" s="24"/>
      <c r="O29" s="24"/>
      <c r="P29" s="24"/>
      <c r="W29" s="51" t="s">
        <v>87</v>
      </c>
      <c r="X29" s="50">
        <v>3336</v>
      </c>
      <c r="Y29" s="24">
        <v>1624</v>
      </c>
      <c r="Z29" s="24"/>
      <c r="AA29" s="24"/>
    </row>
    <row r="30" spans="1:27" ht="26.1" customHeight="1">
      <c r="L30" s="51" t="s">
        <v>88</v>
      </c>
      <c r="M30" s="50">
        <v>1985</v>
      </c>
      <c r="N30" s="24"/>
      <c r="O30" s="24"/>
      <c r="P30" s="24"/>
      <c r="W30" s="51" t="s">
        <v>88</v>
      </c>
      <c r="X30" s="50">
        <v>3433</v>
      </c>
      <c r="Y30" s="24">
        <v>1448</v>
      </c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C18" sqref="C18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</cols>
  <sheetData>
    <row r="1" spans="1:16" ht="22.5">
      <c r="A1" s="65" t="s">
        <v>0</v>
      </c>
      <c r="B1" s="65"/>
      <c r="C1" s="65"/>
      <c r="H1" s="66" t="s">
        <v>107</v>
      </c>
      <c r="I1" s="66"/>
      <c r="J1" s="66"/>
      <c r="K1" s="66"/>
      <c r="L1" s="66"/>
      <c r="M1" s="66"/>
      <c r="N1" s="66"/>
      <c r="O1" s="66"/>
      <c r="P1" s="24"/>
    </row>
    <row r="2" spans="1:16" ht="21.75" customHeight="1">
      <c r="A2" s="3" t="s">
        <v>3</v>
      </c>
      <c r="B2" s="4" t="s">
        <v>4</v>
      </c>
      <c r="C2" s="3" t="s">
        <v>109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68" t="s">
        <v>7</v>
      </c>
      <c r="B3" s="6" t="s">
        <v>8</v>
      </c>
      <c r="C3" s="7">
        <f>J6</f>
        <v>11014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69"/>
      <c r="B4" s="6" t="s">
        <v>18</v>
      </c>
      <c r="C4" s="7">
        <f>J16</f>
        <v>262</v>
      </c>
      <c r="D4" s="8" t="s">
        <v>9</v>
      </c>
      <c r="H4" s="16" t="s">
        <v>19</v>
      </c>
      <c r="I4" s="16" t="s">
        <v>20</v>
      </c>
      <c r="J4" s="32">
        <f>N4+O4</f>
        <v>2453148.62</v>
      </c>
      <c r="K4" s="27" t="s">
        <v>21</v>
      </c>
      <c r="L4" s="33">
        <f>ROUND((P5+P6)/(P4-P7),4)</f>
        <v>0.25950000000000001</v>
      </c>
      <c r="M4" s="34" t="s">
        <v>22</v>
      </c>
      <c r="N4" s="35">
        <f>SUM(N5:N26)</f>
        <v>1546292.71</v>
      </c>
      <c r="O4" s="35">
        <f>SUM(O5:O25)</f>
        <v>906855.91</v>
      </c>
      <c r="P4" s="36">
        <f t="shared" ref="P4:P25" si="0">SUM(N4:O4)</f>
        <v>2453148.62</v>
      </c>
    </row>
    <row r="5" spans="1:16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1546292.71</v>
      </c>
      <c r="K5" s="27" t="s">
        <v>26</v>
      </c>
      <c r="L5" s="33">
        <f>P17/P4</f>
        <v>1.509597082626E-2</v>
      </c>
      <c r="M5" s="37" t="s">
        <v>27</v>
      </c>
      <c r="N5" s="30">
        <v>338514.24</v>
      </c>
      <c r="O5" s="30">
        <v>143176.51</v>
      </c>
      <c r="P5" s="36">
        <f t="shared" si="0"/>
        <v>481690.75</v>
      </c>
    </row>
    <row r="6" spans="1:16" ht="21.75" customHeight="1">
      <c r="A6" s="69"/>
      <c r="B6" s="6" t="s">
        <v>28</v>
      </c>
      <c r="C6" s="7">
        <f>M28</f>
        <v>6115</v>
      </c>
      <c r="D6" s="8" t="s">
        <v>9</v>
      </c>
      <c r="H6" s="16" t="s">
        <v>29</v>
      </c>
      <c r="I6" s="16" t="s">
        <v>30</v>
      </c>
      <c r="J6" s="38">
        <v>11014</v>
      </c>
      <c r="K6" s="27" t="s">
        <v>31</v>
      </c>
      <c r="L6" s="39">
        <f>(P12+P13+P18+P19+P20)/P4</f>
        <v>0.26142125461603699</v>
      </c>
      <c r="M6" s="40" t="s">
        <v>32</v>
      </c>
      <c r="N6" s="30">
        <v>81308.320000000007</v>
      </c>
      <c r="O6" s="30">
        <v>32745.68</v>
      </c>
      <c r="P6" s="36">
        <f t="shared" si="0"/>
        <v>114054</v>
      </c>
    </row>
    <row r="7" spans="1:16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140.39338205919699</v>
      </c>
      <c r="K7" s="27" t="s">
        <v>36</v>
      </c>
      <c r="L7" s="41">
        <f>(P4-P5-P6-P7-P17-P12-P13-P18-P19-P20)/P4</f>
        <v>0.41641415105131302</v>
      </c>
      <c r="M7" s="40" t="s">
        <v>37</v>
      </c>
      <c r="N7" s="30">
        <v>136511.10999999999</v>
      </c>
      <c r="O7" s="30">
        <v>21029.11</v>
      </c>
      <c r="P7" s="36">
        <f t="shared" si="0"/>
        <v>157540.22</v>
      </c>
    </row>
    <row r="8" spans="1:16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445935.15</v>
      </c>
      <c r="K8" s="27"/>
      <c r="L8" s="43"/>
      <c r="M8" s="40" t="s">
        <v>41</v>
      </c>
      <c r="N8" s="30">
        <v>5</v>
      </c>
      <c r="O8" s="30">
        <v>0</v>
      </c>
      <c r="P8" s="36">
        <f t="shared" si="0"/>
        <v>5</v>
      </c>
    </row>
    <row r="9" spans="1:16" ht="21.75" customHeight="1">
      <c r="A9" s="10" t="s">
        <v>42</v>
      </c>
      <c r="B9" s="6" t="s">
        <v>43</v>
      </c>
      <c r="C9" s="11">
        <f>M30/J16</f>
        <v>7.5763358778625998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267.25</v>
      </c>
      <c r="O9" s="30">
        <v>100269</v>
      </c>
      <c r="P9" s="36">
        <f t="shared" si="0"/>
        <v>100536.25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f>N12+N18+N19+N20</f>
        <v>266873.76</v>
      </c>
      <c r="K10" s="27"/>
      <c r="L10" s="43"/>
      <c r="M10" s="40" t="s">
        <v>49</v>
      </c>
      <c r="N10" s="30">
        <v>108541.5</v>
      </c>
      <c r="O10" s="30">
        <v>24292</v>
      </c>
      <c r="P10" s="36">
        <f t="shared" si="0"/>
        <v>132833.5</v>
      </c>
    </row>
    <row r="11" spans="1:16" ht="21.75" customHeight="1">
      <c r="A11" s="68" t="s">
        <v>50</v>
      </c>
      <c r="B11" s="6" t="s">
        <v>51</v>
      </c>
      <c r="C11" s="12">
        <f>J7</f>
        <v>140.39338205919699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94</v>
      </c>
      <c r="O11" s="30">
        <v>51682</v>
      </c>
      <c r="P11" s="36">
        <f t="shared" si="0"/>
        <v>51776</v>
      </c>
    </row>
    <row r="12" spans="1:16" ht="21.75" customHeight="1">
      <c r="A12" s="70"/>
      <c r="B12" s="6" t="s">
        <v>53</v>
      </c>
      <c r="C12" s="12">
        <f>J18</f>
        <v>3461.2820992366401</v>
      </c>
      <c r="D12" s="8" t="s">
        <v>9</v>
      </c>
      <c r="H12" s="16" t="s">
        <v>54</v>
      </c>
      <c r="I12" s="16" t="s">
        <v>20</v>
      </c>
      <c r="J12" s="32">
        <f>N17</f>
        <v>10609.85</v>
      </c>
      <c r="K12" s="27"/>
      <c r="L12" s="43"/>
      <c r="M12" s="40" t="s">
        <v>55</v>
      </c>
      <c r="N12" s="30">
        <v>87848.56</v>
      </c>
      <c r="O12" s="30">
        <v>17755</v>
      </c>
      <c r="P12" s="36">
        <f t="shared" si="0"/>
        <v>105603.56</v>
      </c>
    </row>
    <row r="13" spans="1:16" ht="21.75" customHeight="1">
      <c r="A13" s="71" t="s">
        <v>56</v>
      </c>
      <c r="B13" s="6" t="s">
        <v>93</v>
      </c>
      <c r="C13" s="13">
        <f>L4</f>
        <v>0.25950000000000001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234001.83</v>
      </c>
      <c r="O13" s="30">
        <v>81373.600000000006</v>
      </c>
      <c r="P13" s="36">
        <f t="shared" si="0"/>
        <v>315375.43</v>
      </c>
    </row>
    <row r="14" spans="1:16" ht="21.75" customHeight="1">
      <c r="A14" s="71"/>
      <c r="B14" s="6" t="s">
        <v>59</v>
      </c>
      <c r="C14" s="13">
        <f>P7/P4</f>
        <v>6.4219598729407606E-2</v>
      </c>
      <c r="D14" s="8" t="s">
        <v>9</v>
      </c>
      <c r="H14" s="16" t="s">
        <v>60</v>
      </c>
      <c r="I14" s="16" t="s">
        <v>20</v>
      </c>
      <c r="J14" s="32">
        <f>N5+N6+N7</f>
        <v>556333.67000000004</v>
      </c>
      <c r="K14" s="27"/>
      <c r="L14" s="43"/>
      <c r="M14" s="40" t="s">
        <v>61</v>
      </c>
      <c r="N14" s="30">
        <v>308253.25</v>
      </c>
      <c r="O14" s="30">
        <v>338492</v>
      </c>
      <c r="P14" s="36">
        <f t="shared" si="0"/>
        <v>646745.25</v>
      </c>
    </row>
    <row r="15" spans="1:16" ht="21.75" customHeight="1">
      <c r="A15" s="71"/>
      <c r="B15" s="6" t="s">
        <v>62</v>
      </c>
      <c r="C15" s="13">
        <f>P17/P4</f>
        <v>1.509597082626E-2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29041.4</v>
      </c>
      <c r="O15" s="30">
        <v>14156.6</v>
      </c>
      <c r="P15" s="36">
        <f t="shared" si="0"/>
        <v>43198</v>
      </c>
    </row>
    <row r="16" spans="1:16" ht="21.75" customHeight="1">
      <c r="A16" s="71"/>
      <c r="B16" s="6" t="s">
        <v>64</v>
      </c>
      <c r="C16" s="13">
        <f>L6</f>
        <v>0.26142125461603699</v>
      </c>
      <c r="D16" s="8" t="s">
        <v>9</v>
      </c>
      <c r="H16" s="16" t="s">
        <v>65</v>
      </c>
      <c r="I16" s="16" t="s">
        <v>66</v>
      </c>
      <c r="J16" s="38">
        <v>262</v>
      </c>
      <c r="K16" s="27"/>
      <c r="L16" s="44"/>
      <c r="M16" s="40" t="s">
        <v>67</v>
      </c>
      <c r="N16" s="30">
        <v>1744</v>
      </c>
      <c r="O16" s="30">
        <v>0</v>
      </c>
      <c r="P16" s="36">
        <f t="shared" si="0"/>
        <v>1744</v>
      </c>
    </row>
    <row r="17" spans="1:16" ht="21.75" customHeight="1">
      <c r="A17" s="71"/>
      <c r="B17" s="6" t="s">
        <v>68</v>
      </c>
      <c r="C17" s="13">
        <f>L7</f>
        <v>0.41641415105131302</v>
      </c>
      <c r="D17" s="8" t="s">
        <v>9</v>
      </c>
      <c r="H17" s="16" t="s">
        <v>69</v>
      </c>
      <c r="I17" s="16" t="s">
        <v>70</v>
      </c>
      <c r="J17" s="32">
        <f>O4</f>
        <v>906855.91</v>
      </c>
      <c r="K17" s="27"/>
      <c r="L17" s="43"/>
      <c r="M17" s="40" t="s">
        <v>71</v>
      </c>
      <c r="N17" s="30">
        <v>10609.85</v>
      </c>
      <c r="O17" s="30">
        <v>26422.81</v>
      </c>
      <c r="P17" s="36">
        <f t="shared" si="0"/>
        <v>37032.660000000003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>
        <f>J17/J16</f>
        <v>3461.2820992366401</v>
      </c>
      <c r="K18" s="27"/>
      <c r="L18" s="43"/>
      <c r="M18" s="40" t="s">
        <v>73</v>
      </c>
      <c r="N18" s="30">
        <v>0</v>
      </c>
      <c r="O18" s="30">
        <v>0</v>
      </c>
      <c r="P18" s="36">
        <f t="shared" si="0"/>
        <v>0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528891.6</v>
      </c>
      <c r="K19" s="27"/>
      <c r="L19" s="43"/>
      <c r="M19" s="40" t="s">
        <v>75</v>
      </c>
      <c r="N19" s="30">
        <v>33516</v>
      </c>
      <c r="O19" s="30">
        <v>29337</v>
      </c>
      <c r="P19" s="36">
        <f t="shared" si="0"/>
        <v>62853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145509.20000000001</v>
      </c>
      <c r="O20" s="30">
        <v>11964</v>
      </c>
      <c r="P20" s="36">
        <f t="shared" si="0"/>
        <v>157473.20000000001</v>
      </c>
    </row>
    <row r="21" spans="1:16" ht="26.1" customHeight="1">
      <c r="H21" s="16" t="s">
        <v>77</v>
      </c>
      <c r="I21" s="16" t="s">
        <v>20</v>
      </c>
      <c r="J21" s="32">
        <f>O12+O18+O19+O20</f>
        <v>59056</v>
      </c>
      <c r="K21" s="27"/>
      <c r="L21" s="43"/>
      <c r="M21" s="40" t="s">
        <v>78</v>
      </c>
      <c r="N21" s="30">
        <v>688.5</v>
      </c>
      <c r="O21" s="30">
        <v>1879</v>
      </c>
      <c r="P21" s="36">
        <f t="shared" si="0"/>
        <v>2567.5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</row>
    <row r="23" spans="1:16" ht="26.1" customHeight="1">
      <c r="H23" s="16" t="s">
        <v>54</v>
      </c>
      <c r="I23" s="16" t="s">
        <v>20</v>
      </c>
      <c r="J23" s="32">
        <f>O17</f>
        <v>26422.81</v>
      </c>
      <c r="K23" s="27"/>
      <c r="L23" s="43"/>
      <c r="M23" s="40" t="s">
        <v>80</v>
      </c>
      <c r="N23" s="30">
        <v>16086.7</v>
      </c>
      <c r="O23" s="30">
        <v>9874.6</v>
      </c>
      <c r="P23" s="36">
        <f t="shared" si="0"/>
        <v>25961.3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1460</v>
      </c>
      <c r="P24" s="36">
        <f t="shared" si="0"/>
        <v>2210</v>
      </c>
    </row>
    <row r="25" spans="1:16" ht="26.1" customHeight="1">
      <c r="H25" s="16" t="s">
        <v>60</v>
      </c>
      <c r="I25" s="16" t="s">
        <v>20</v>
      </c>
      <c r="J25" s="32">
        <f>(O5+O6+O7)</f>
        <v>196951.3</v>
      </c>
      <c r="K25" s="27"/>
      <c r="L25" s="43"/>
      <c r="M25" s="40" t="s">
        <v>82</v>
      </c>
      <c r="N25" s="30">
        <v>13002</v>
      </c>
      <c r="O25" s="30">
        <v>947</v>
      </c>
      <c r="P25" s="36">
        <f t="shared" si="0"/>
        <v>13949</v>
      </c>
    </row>
    <row r="26" spans="1:16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</row>
    <row r="27" spans="1:16" ht="26.1" customHeight="1">
      <c r="H27" s="23" t="s">
        <v>85</v>
      </c>
      <c r="I27" s="23" t="s">
        <v>66</v>
      </c>
      <c r="J27" s="48" t="e">
        <f>#REF!+#REF!</f>
        <v>#REF!</v>
      </c>
      <c r="L27" s="25"/>
      <c r="M27" s="26"/>
      <c r="N27" s="24"/>
      <c r="O27" s="24"/>
      <c r="P27" s="24"/>
    </row>
    <row r="28" spans="1:16" ht="26.1" customHeight="1">
      <c r="L28" s="49" t="s">
        <v>86</v>
      </c>
      <c r="M28" s="50">
        <v>6115</v>
      </c>
      <c r="N28" s="24"/>
      <c r="O28" s="24"/>
      <c r="P28" s="24"/>
    </row>
    <row r="29" spans="1:16" ht="26.1" customHeight="1">
      <c r="L29" s="51" t="s">
        <v>87</v>
      </c>
      <c r="M29" s="50">
        <v>1712</v>
      </c>
      <c r="N29" s="24"/>
      <c r="O29" s="24"/>
      <c r="P29" s="24"/>
    </row>
    <row r="30" spans="1:16" ht="26.1" customHeight="1">
      <c r="L30" s="51" t="s">
        <v>88</v>
      </c>
      <c r="M30" s="50">
        <v>1985</v>
      </c>
      <c r="N30" s="24"/>
      <c r="O30" s="24"/>
      <c r="P30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C23" sqref="C23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</cols>
  <sheetData>
    <row r="1" spans="1:4" ht="22.5">
      <c r="A1" s="65" t="s">
        <v>110</v>
      </c>
      <c r="B1" s="65"/>
      <c r="C1" s="65"/>
    </row>
    <row r="2" spans="1:4" ht="21.75" customHeight="1">
      <c r="A2" s="3" t="s">
        <v>3</v>
      </c>
      <c r="B2" s="4" t="s">
        <v>4</v>
      </c>
      <c r="C2" s="3" t="s">
        <v>111</v>
      </c>
      <c r="D2" s="5" t="s">
        <v>6</v>
      </c>
    </row>
    <row r="3" spans="1:4" ht="21.75" customHeight="1">
      <c r="A3" s="68" t="s">
        <v>7</v>
      </c>
      <c r="B3" s="6" t="s">
        <v>8</v>
      </c>
      <c r="C3" s="7">
        <f>66207-52254</f>
        <v>13953</v>
      </c>
      <c r="D3" s="8" t="s">
        <v>9</v>
      </c>
    </row>
    <row r="4" spans="1:4" ht="21.75" customHeight="1">
      <c r="A4" s="69"/>
      <c r="B4" s="6" t="s">
        <v>18</v>
      </c>
      <c r="C4" s="7">
        <f>2784-2091</f>
        <v>693</v>
      </c>
      <c r="D4" s="8" t="s">
        <v>9</v>
      </c>
    </row>
    <row r="5" spans="1:4" ht="21.75" customHeight="1">
      <c r="A5" s="69"/>
      <c r="B5" s="6" t="s">
        <v>23</v>
      </c>
      <c r="C5" s="7">
        <v>100</v>
      </c>
      <c r="D5" s="8" t="s">
        <v>24</v>
      </c>
    </row>
    <row r="6" spans="1:4" ht="21.75" customHeight="1">
      <c r="A6" s="69"/>
      <c r="B6" s="6" t="s">
        <v>28</v>
      </c>
      <c r="C6" s="7">
        <f>29200-21840</f>
        <v>7360</v>
      </c>
      <c r="D6" s="8" t="s">
        <v>9</v>
      </c>
    </row>
    <row r="7" spans="1:4" ht="21.75" customHeight="1">
      <c r="A7" s="69"/>
      <c r="B7" s="6" t="s">
        <v>33</v>
      </c>
      <c r="C7" s="9" t="s">
        <v>34</v>
      </c>
      <c r="D7" s="8" t="s">
        <v>9</v>
      </c>
    </row>
    <row r="8" spans="1:4" ht="21.75" customHeight="1">
      <c r="A8" s="70"/>
      <c r="B8" s="6" t="s">
        <v>38</v>
      </c>
      <c r="C8" s="9" t="s">
        <v>39</v>
      </c>
      <c r="D8" s="8" t="s">
        <v>9</v>
      </c>
    </row>
    <row r="9" spans="1:4" ht="21.75" customHeight="1">
      <c r="A9" s="10" t="s">
        <v>42</v>
      </c>
      <c r="B9" s="6" t="s">
        <v>43</v>
      </c>
      <c r="C9" s="11">
        <v>6.77</v>
      </c>
      <c r="D9" s="8" t="s">
        <v>9</v>
      </c>
    </row>
    <row r="10" spans="1:4" ht="21.75" customHeight="1">
      <c r="A10" s="10" t="s">
        <v>46</v>
      </c>
      <c r="B10" s="6" t="s">
        <v>47</v>
      </c>
      <c r="C10" s="11">
        <v>32</v>
      </c>
      <c r="D10" s="8" t="s">
        <v>9</v>
      </c>
    </row>
    <row r="11" spans="1:4" ht="21.75" customHeight="1">
      <c r="A11" s="68" t="s">
        <v>50</v>
      </c>
      <c r="B11" s="6" t="s">
        <v>51</v>
      </c>
      <c r="C11" s="12">
        <f>(9697085.7-6980541.62)/C3</f>
        <v>194.69247330323199</v>
      </c>
      <c r="D11" s="8" t="s">
        <v>9</v>
      </c>
    </row>
    <row r="12" spans="1:4" ht="21.75" customHeight="1">
      <c r="A12" s="70"/>
      <c r="B12" s="6" t="s">
        <v>53</v>
      </c>
      <c r="C12" s="12">
        <f>(8377603.76-6330789.89)/C4</f>
        <v>2953.5553679653699</v>
      </c>
      <c r="D12" s="8" t="s">
        <v>9</v>
      </c>
    </row>
    <row r="13" spans="1:4" ht="21.75" customHeight="1">
      <c r="A13" s="68" t="s">
        <v>56</v>
      </c>
      <c r="B13" s="6" t="s">
        <v>93</v>
      </c>
      <c r="C13" s="13">
        <f>C16/C19</f>
        <v>0.182119952513532</v>
      </c>
      <c r="D13" s="8" t="s">
        <v>9</v>
      </c>
    </row>
    <row r="14" spans="1:4" ht="21.75" customHeight="1">
      <c r="A14" s="69"/>
      <c r="B14" s="6" t="s">
        <v>59</v>
      </c>
      <c r="C14" s="13">
        <f>C17/C22</f>
        <v>4.3441457092259897E-2</v>
      </c>
      <c r="D14" s="8" t="s">
        <v>9</v>
      </c>
    </row>
    <row r="15" spans="1:4" ht="21.75" customHeight="1">
      <c r="A15" s="69"/>
      <c r="B15" s="6" t="s">
        <v>62</v>
      </c>
      <c r="C15" s="13">
        <f>C18/C22</f>
        <v>2.2645575061181401E-2</v>
      </c>
      <c r="D15" s="8" t="s">
        <v>9</v>
      </c>
    </row>
    <row r="16" spans="1:4" ht="21.75" hidden="1" customHeight="1">
      <c r="A16" s="69"/>
      <c r="B16" s="6" t="s">
        <v>112</v>
      </c>
      <c r="C16" s="11">
        <f>3143293.69-2313476.74</f>
        <v>829816.95</v>
      </c>
      <c r="D16" s="8"/>
    </row>
    <row r="17" spans="1:4" ht="21.75" hidden="1" customHeight="1">
      <c r="A17" s="69"/>
      <c r="B17" s="6" t="s">
        <v>113</v>
      </c>
      <c r="C17" s="11">
        <f>646446.83-439519.62</f>
        <v>206927.21</v>
      </c>
      <c r="D17" s="8"/>
    </row>
    <row r="18" spans="1:4" ht="21.75" hidden="1" customHeight="1">
      <c r="A18" s="69"/>
      <c r="B18" s="6" t="s">
        <v>114</v>
      </c>
      <c r="C18" s="11">
        <f>434203.74-326334.76</f>
        <v>107868.98</v>
      </c>
      <c r="D18" s="8"/>
    </row>
    <row r="19" spans="1:4" ht="21.75" hidden="1" customHeight="1">
      <c r="A19" s="69"/>
      <c r="B19" s="6" t="s">
        <v>115</v>
      </c>
      <c r="C19" s="11">
        <f>18074689.46-646446.83-(13311331.51-439519.62)</f>
        <v>4556430.74</v>
      </c>
      <c r="D19" s="8"/>
    </row>
    <row r="20" spans="1:4" ht="21.75" customHeight="1">
      <c r="A20" s="69"/>
      <c r="B20" s="6" t="s">
        <v>64</v>
      </c>
      <c r="C20" s="13">
        <f>C21/C22</f>
        <v>0.38060893156266001</v>
      </c>
      <c r="D20" s="8" t="s">
        <v>9</v>
      </c>
    </row>
    <row r="21" spans="1:4" ht="21.75" hidden="1" customHeight="1">
      <c r="A21" s="69"/>
      <c r="B21" s="6" t="s">
        <v>116</v>
      </c>
      <c r="C21" s="11">
        <f>4892524.19+1504007.5-(3423516.11+1160039)</f>
        <v>1812976.58</v>
      </c>
      <c r="D21" s="8"/>
    </row>
    <row r="22" spans="1:4" ht="21.75" hidden="1" customHeight="1">
      <c r="A22" s="69"/>
      <c r="B22" s="6" t="s">
        <v>117</v>
      </c>
      <c r="C22" s="11">
        <f>18074689.46-13311331.51</f>
        <v>4763357.95</v>
      </c>
      <c r="D22" s="8"/>
    </row>
    <row r="23" spans="1:4" ht="21.75" customHeight="1">
      <c r="A23" s="70"/>
      <c r="B23" s="6" t="s">
        <v>68</v>
      </c>
      <c r="C23" s="13">
        <f>C24/C22</f>
        <v>0.379095639873128</v>
      </c>
      <c r="D23" s="8" t="s">
        <v>9</v>
      </c>
    </row>
    <row r="24" spans="1:4" ht="21.75" hidden="1" customHeight="1">
      <c r="A24" s="14"/>
      <c r="B24" s="15" t="s">
        <v>118</v>
      </c>
      <c r="C24" s="12">
        <f>C22-C18-C27-C21</f>
        <v>1805768.23</v>
      </c>
    </row>
    <row r="25" spans="1:4" ht="32.25" hidden="1" customHeight="1">
      <c r="A25" s="72"/>
      <c r="B25" s="6" t="s">
        <v>119</v>
      </c>
      <c r="C25" s="12">
        <f>C26/(C22-C27)*100</f>
        <v>22.953937225676398</v>
      </c>
    </row>
    <row r="26" spans="1:4" ht="21.75" hidden="1" customHeight="1">
      <c r="A26" s="73"/>
      <c r="B26" s="6" t="s">
        <v>120</v>
      </c>
      <c r="C26" s="11">
        <v>855404.59</v>
      </c>
    </row>
    <row r="27" spans="1:4" ht="21.75" hidden="1" customHeight="1">
      <c r="A27" s="74"/>
      <c r="B27" s="6" t="s">
        <v>121</v>
      </c>
      <c r="C27" s="11">
        <f>C16+C17</f>
        <v>1036744.16</v>
      </c>
    </row>
  </sheetData>
  <mergeCells count="5">
    <mergeCell ref="A1:C1"/>
    <mergeCell ref="A3:A8"/>
    <mergeCell ref="A11:A12"/>
    <mergeCell ref="A13:A23"/>
    <mergeCell ref="A25:A27"/>
  </mergeCells>
  <phoneticPr fontId="7" type="noConversion"/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F15" sqref="F15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</cols>
  <sheetData>
    <row r="1" spans="1:4" ht="22.5">
      <c r="A1" s="65" t="s">
        <v>110</v>
      </c>
      <c r="B1" s="65"/>
      <c r="C1" s="65"/>
    </row>
    <row r="2" spans="1:4" ht="21.75" customHeight="1">
      <c r="A2" s="3" t="s">
        <v>3</v>
      </c>
      <c r="B2" s="4" t="s">
        <v>4</v>
      </c>
      <c r="C2" s="3" t="s">
        <v>122</v>
      </c>
      <c r="D2" s="5" t="s">
        <v>6</v>
      </c>
    </row>
    <row r="3" spans="1:4" ht="21.75" customHeight="1">
      <c r="A3" s="68" t="s">
        <v>7</v>
      </c>
      <c r="B3" s="6" t="s">
        <v>8</v>
      </c>
      <c r="C3" s="7">
        <f>52254-32837</f>
        <v>19417</v>
      </c>
      <c r="D3" s="8" t="s">
        <v>9</v>
      </c>
    </row>
    <row r="4" spans="1:4" ht="21.75" customHeight="1">
      <c r="A4" s="69"/>
      <c r="B4" s="6" t="s">
        <v>18</v>
      </c>
      <c r="C4" s="7">
        <f>2091-1481</f>
        <v>610</v>
      </c>
      <c r="D4" s="8" t="s">
        <v>9</v>
      </c>
    </row>
    <row r="5" spans="1:4" ht="21.75" customHeight="1">
      <c r="A5" s="69"/>
      <c r="B5" s="6" t="s">
        <v>23</v>
      </c>
      <c r="C5" s="7">
        <v>100</v>
      </c>
      <c r="D5" s="8" t="s">
        <v>24</v>
      </c>
    </row>
    <row r="6" spans="1:4" ht="21.75" customHeight="1">
      <c r="A6" s="69"/>
      <c r="B6" s="6" t="s">
        <v>28</v>
      </c>
      <c r="C6" s="7">
        <f>21840-14480</f>
        <v>7360</v>
      </c>
      <c r="D6" s="8" t="s">
        <v>9</v>
      </c>
    </row>
    <row r="7" spans="1:4" ht="21.75" customHeight="1">
      <c r="A7" s="69"/>
      <c r="B7" s="6" t="s">
        <v>33</v>
      </c>
      <c r="C7" s="9" t="s">
        <v>34</v>
      </c>
      <c r="D7" s="8" t="s">
        <v>9</v>
      </c>
    </row>
    <row r="8" spans="1:4" ht="21.75" customHeight="1">
      <c r="A8" s="70"/>
      <c r="B8" s="6" t="s">
        <v>38</v>
      </c>
      <c r="C8" s="9" t="s">
        <v>39</v>
      </c>
      <c r="D8" s="8" t="s">
        <v>9</v>
      </c>
    </row>
    <row r="9" spans="1:4" ht="21.75" customHeight="1">
      <c r="A9" s="10" t="s">
        <v>42</v>
      </c>
      <c r="B9" s="6" t="s">
        <v>43</v>
      </c>
      <c r="C9" s="11">
        <f>5418/C4</f>
        <v>8.8819672131147502</v>
      </c>
      <c r="D9" s="8" t="s">
        <v>9</v>
      </c>
    </row>
    <row r="10" spans="1:4" ht="21.75" customHeight="1">
      <c r="A10" s="10" t="s">
        <v>46</v>
      </c>
      <c r="B10" s="6" t="s">
        <v>47</v>
      </c>
      <c r="C10" s="11">
        <v>32</v>
      </c>
      <c r="D10" s="8" t="s">
        <v>9</v>
      </c>
    </row>
    <row r="11" spans="1:4" ht="21.75" customHeight="1">
      <c r="A11" s="68" t="s">
        <v>50</v>
      </c>
      <c r="B11" s="6" t="s">
        <v>51</v>
      </c>
      <c r="C11" s="12">
        <f>(6980541.62-4308421.22)/C3</f>
        <v>137.61757223052001</v>
      </c>
      <c r="D11" s="8" t="s">
        <v>9</v>
      </c>
    </row>
    <row r="12" spans="1:4" ht="21.75" customHeight="1">
      <c r="A12" s="70"/>
      <c r="B12" s="6" t="s">
        <v>53</v>
      </c>
      <c r="C12" s="12">
        <f>(6330789.89-4393915.85)/C4</f>
        <v>3175.2033442623001</v>
      </c>
      <c r="D12" s="8" t="s">
        <v>9</v>
      </c>
    </row>
    <row r="13" spans="1:4" ht="21.75" customHeight="1">
      <c r="A13" s="68" t="s">
        <v>56</v>
      </c>
      <c r="B13" s="6" t="s">
        <v>93</v>
      </c>
      <c r="C13" s="13">
        <f>C16/C19</f>
        <v>0.16513141524564101</v>
      </c>
      <c r="D13" s="8" t="s">
        <v>9</v>
      </c>
    </row>
    <row r="14" spans="1:4" ht="21.75" customHeight="1">
      <c r="A14" s="69"/>
      <c r="B14" s="6" t="s">
        <v>59</v>
      </c>
      <c r="C14" s="13">
        <f>C17/C22</f>
        <v>3.4896336303673198E-2</v>
      </c>
      <c r="D14" s="8" t="s">
        <v>9</v>
      </c>
    </row>
    <row r="15" spans="1:4" ht="21.75" customHeight="1">
      <c r="A15" s="69"/>
      <c r="B15" s="6" t="s">
        <v>62</v>
      </c>
      <c r="C15" s="13">
        <f>C18/C22</f>
        <v>1.87157721978072E-2</v>
      </c>
      <c r="D15" s="8" t="s">
        <v>9</v>
      </c>
    </row>
    <row r="16" spans="1:4" ht="21.75" hidden="1" customHeight="1">
      <c r="A16" s="69"/>
      <c r="B16" s="6" t="s">
        <v>112</v>
      </c>
      <c r="C16" s="11">
        <f>2313476.74-1578946.21</f>
        <v>734530.53</v>
      </c>
      <c r="D16" s="8"/>
    </row>
    <row r="17" spans="1:4" ht="21.75" hidden="1" customHeight="1">
      <c r="A17" s="69"/>
      <c r="B17" s="6" t="s">
        <v>113</v>
      </c>
      <c r="C17" s="11">
        <f>439519.62-278682.6</f>
        <v>160837.01999999999</v>
      </c>
      <c r="D17" s="8"/>
    </row>
    <row r="18" spans="1:4" ht="21.75" hidden="1" customHeight="1">
      <c r="A18" s="69"/>
      <c r="B18" s="6" t="s">
        <v>114</v>
      </c>
      <c r="C18" s="11">
        <f>326334.76-240073.87</f>
        <v>86260.89</v>
      </c>
      <c r="D18" s="8"/>
    </row>
    <row r="19" spans="1:4" ht="21.75" hidden="1" customHeight="1">
      <c r="A19" s="69"/>
      <c r="B19" s="6" t="s">
        <v>115</v>
      </c>
      <c r="C19" s="11">
        <f>13311331.51-439519.62-8423654.47</f>
        <v>4448157.42</v>
      </c>
      <c r="D19" s="8"/>
    </row>
    <row r="20" spans="1:4" ht="21.75" customHeight="1">
      <c r="A20" s="69"/>
      <c r="B20" s="6" t="s">
        <v>64</v>
      </c>
      <c r="C20" s="13">
        <f>C21/C22</f>
        <v>0.37884464230336501</v>
      </c>
      <c r="D20" s="8" t="s">
        <v>9</v>
      </c>
    </row>
    <row r="21" spans="1:4" ht="21.75" hidden="1" customHeight="1">
      <c r="A21" s="69"/>
      <c r="B21" s="6" t="s">
        <v>116</v>
      </c>
      <c r="C21" s="11">
        <f>3423516.11+1160039-2837462.26</f>
        <v>1746092.85</v>
      </c>
      <c r="D21" s="8"/>
    </row>
    <row r="22" spans="1:4" ht="21.75" hidden="1" customHeight="1">
      <c r="A22" s="69"/>
      <c r="B22" s="6" t="s">
        <v>117</v>
      </c>
      <c r="C22" s="11">
        <f>13311331.51-8702337.07</f>
        <v>4608994.4400000004</v>
      </c>
      <c r="D22" s="8"/>
    </row>
    <row r="23" spans="1:4" ht="21.75" customHeight="1">
      <c r="A23" s="70"/>
      <c r="B23" s="6" t="s">
        <v>68</v>
      </c>
      <c r="C23" s="13">
        <f>C24/C22</f>
        <v>0.40817431535022702</v>
      </c>
      <c r="D23" s="8" t="s">
        <v>9</v>
      </c>
    </row>
    <row r="24" spans="1:4" ht="21.75" hidden="1" customHeight="1">
      <c r="A24" s="14"/>
      <c r="B24" s="15" t="s">
        <v>118</v>
      </c>
      <c r="C24" s="12">
        <f>C22-C18-C27-C21</f>
        <v>1881273.15</v>
      </c>
    </row>
    <row r="25" spans="1:4" ht="21.75" hidden="1" customHeight="1">
      <c r="A25" s="72"/>
      <c r="B25" s="6" t="s">
        <v>119</v>
      </c>
      <c r="C25" s="12">
        <f>C26/(C22-C27)*100</f>
        <v>39.3949988336066</v>
      </c>
    </row>
    <row r="26" spans="1:4" ht="21.75" hidden="1" customHeight="1">
      <c r="A26" s="73"/>
      <c r="B26" s="6" t="s">
        <v>120</v>
      </c>
      <c r="C26" s="11">
        <v>1462983.27</v>
      </c>
    </row>
    <row r="27" spans="1:4" ht="21.75" hidden="1" customHeight="1">
      <c r="A27" s="74"/>
      <c r="B27" s="6" t="s">
        <v>121</v>
      </c>
      <c r="C27" s="11">
        <f>1870088.9+882907.46-1857628.81</f>
        <v>895367.55</v>
      </c>
    </row>
  </sheetData>
  <mergeCells count="5">
    <mergeCell ref="A1:C1"/>
    <mergeCell ref="A3:A8"/>
    <mergeCell ref="A11:A12"/>
    <mergeCell ref="A13:A23"/>
    <mergeCell ref="A25:A27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L7" sqref="L7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5" t="s">
        <v>0</v>
      </c>
      <c r="B1" s="65"/>
      <c r="C1" s="65"/>
      <c r="H1" s="66" t="s">
        <v>124</v>
      </c>
      <c r="I1" s="66"/>
      <c r="J1" s="66"/>
      <c r="K1" s="66"/>
      <c r="L1" s="66"/>
      <c r="M1" s="66"/>
      <c r="N1" s="66"/>
      <c r="O1" s="66"/>
      <c r="P1" s="24"/>
      <c r="S1" s="66" t="s">
        <v>126</v>
      </c>
      <c r="T1" s="66"/>
      <c r="U1" s="66"/>
      <c r="V1" s="66"/>
      <c r="W1" s="66"/>
      <c r="X1" s="66"/>
      <c r="Y1" s="67"/>
      <c r="Z1" s="67"/>
      <c r="AA1" s="24"/>
    </row>
    <row r="2" spans="1:27" ht="21.75" customHeight="1">
      <c r="A2" s="61" t="s">
        <v>3</v>
      </c>
      <c r="B2" s="4" t="s">
        <v>4</v>
      </c>
      <c r="C2" s="5" t="s">
        <v>128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1821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f>N4+O4</f>
        <v>368419.93</v>
      </c>
      <c r="K4" s="27" t="s">
        <v>21</v>
      </c>
      <c r="L4" s="33">
        <f>ROUND((P5+P6)/(P4-P7),4)</f>
        <v>0.42159999999999997</v>
      </c>
      <c r="M4" s="34" t="s">
        <v>22</v>
      </c>
      <c r="N4" s="35">
        <f>SUM(N5:N27)</f>
        <v>353612.79999999999</v>
      </c>
      <c r="O4" s="35">
        <f>SUM(O5:O27)</f>
        <v>14807.130000000001</v>
      </c>
      <c r="P4" s="36">
        <f t="shared" ref="P4:P27" si="0">SUM(N4:O4)</f>
        <v>368419.93</v>
      </c>
      <c r="S4" s="16" t="s">
        <v>19</v>
      </c>
      <c r="T4" s="16" t="s">
        <v>20</v>
      </c>
      <c r="U4" s="32">
        <f>Y4+Z4</f>
        <v>925552.2699999999</v>
      </c>
      <c r="V4" s="27" t="s">
        <v>21</v>
      </c>
      <c r="W4" s="33">
        <f>ROUND((AA5+AA6)/(AA4-AA7),4)</f>
        <v>0.28270000000000001</v>
      </c>
      <c r="X4" s="34" t="s">
        <v>22</v>
      </c>
      <c r="Y4" s="35">
        <f>SUM(Y5:Y27)</f>
        <v>925552.2699999999</v>
      </c>
      <c r="Z4" s="35">
        <f>SUM(Z5:Z27)</f>
        <v>0</v>
      </c>
      <c r="AA4" s="36">
        <f t="shared" ref="AA4:AA27" si="1">SUM(Y4:Z4)</f>
        <v>925552.2699999999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353612.79999999999</v>
      </c>
      <c r="K5" s="27" t="s">
        <v>26</v>
      </c>
      <c r="L5" s="33">
        <f>P17/P4</f>
        <v>2.978557647519232E-3</v>
      </c>
      <c r="M5" s="37" t="s">
        <v>27</v>
      </c>
      <c r="N5" s="30">
        <v>109137.53</v>
      </c>
      <c r="O5" s="30">
        <v>225.03</v>
      </c>
      <c r="P5" s="36">
        <f t="shared" si="0"/>
        <v>109362.56</v>
      </c>
      <c r="S5" s="16" t="s">
        <v>25</v>
      </c>
      <c r="T5" s="16" t="s">
        <v>20</v>
      </c>
      <c r="U5" s="32">
        <f>Y4</f>
        <v>925552.2699999999</v>
      </c>
      <c r="V5" s="27" t="s">
        <v>26</v>
      </c>
      <c r="W5" s="33">
        <f>AA17/AA4</f>
        <v>4.0616830857105454E-3</v>
      </c>
      <c r="X5" s="37" t="s">
        <v>27</v>
      </c>
      <c r="Y5" s="30">
        <v>188300.06999999998</v>
      </c>
      <c r="Z5" s="30">
        <v>0</v>
      </c>
      <c r="AA5" s="36">
        <f t="shared" si="1"/>
        <v>188300.06999999998</v>
      </c>
    </row>
    <row r="6" spans="1:27" ht="21.75" customHeight="1">
      <c r="A6" s="69"/>
      <c r="B6" s="6" t="s">
        <v>28</v>
      </c>
      <c r="C6" s="7">
        <f>X29-M29</f>
        <v>4095</v>
      </c>
      <c r="D6" s="8" t="s">
        <v>9</v>
      </c>
      <c r="H6" s="16" t="s">
        <v>29</v>
      </c>
      <c r="I6" s="16" t="s">
        <v>30</v>
      </c>
      <c r="J6" s="38">
        <v>2796</v>
      </c>
      <c r="K6" s="27" t="s">
        <v>31</v>
      </c>
      <c r="L6" s="39">
        <f>(P12+P13+P18+P19+P20)/P4</f>
        <v>0.13649641592407882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4617</v>
      </c>
      <c r="V6" s="27" t="s">
        <v>31</v>
      </c>
      <c r="W6" s="39">
        <f>(AA12+AA13+AA18+AA19+AA20)/AA4</f>
        <v>0.127065757183006</v>
      </c>
      <c r="X6" s="40" t="s">
        <v>32</v>
      </c>
      <c r="Y6" s="30">
        <v>0</v>
      </c>
      <c r="Z6" s="30">
        <v>0</v>
      </c>
      <c r="AA6" s="36">
        <f t="shared" si="1"/>
        <v>0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126.47095851216022</v>
      </c>
      <c r="K7" s="27" t="s">
        <v>36</v>
      </c>
      <c r="L7" s="41">
        <f>(P4-P5-P6-P7-P17-P12-P13-P18-P19-P20)/P4</f>
        <v>0.2676884499706626</v>
      </c>
      <c r="M7" s="40" t="s">
        <v>37</v>
      </c>
      <c r="N7" s="30">
        <v>108186.09</v>
      </c>
      <c r="O7" s="30">
        <v>864.16</v>
      </c>
      <c r="P7" s="36">
        <f t="shared" si="0"/>
        <v>109050.25</v>
      </c>
      <c r="S7" s="16" t="s">
        <v>35</v>
      </c>
      <c r="T7" s="16" t="s">
        <v>20</v>
      </c>
      <c r="U7" s="32">
        <f>U5/U6</f>
        <v>200.46616200996317</v>
      </c>
      <c r="V7" s="27" t="s">
        <v>36</v>
      </c>
      <c r="W7" s="41">
        <f>(AA4-AA5-AA6-AA7-AA17-AA12-AA13-AA18-AA19-AA20)/AA4</f>
        <v>0.3850293727873414</v>
      </c>
      <c r="X7" s="40" t="s">
        <v>37</v>
      </c>
      <c r="Y7" s="30">
        <v>259522.08999999997</v>
      </c>
      <c r="Z7" s="30">
        <v>0</v>
      </c>
      <c r="AA7" s="36">
        <f t="shared" si="1"/>
        <v>259522.08999999997</v>
      </c>
    </row>
    <row r="8" spans="1:27" ht="21.75" customHeight="1">
      <c r="A8" s="70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73865.7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199153.7</v>
      </c>
      <c r="V8" s="27"/>
      <c r="W8" s="43"/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 t="e">
        <f>ROUND((X31-M31)/C4,0)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1040</v>
      </c>
      <c r="P9" s="36">
        <f t="shared" si="0"/>
        <v>1040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0</v>
      </c>
      <c r="AA9" s="36">
        <f t="shared" si="1"/>
        <v>0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N12+N18+N19+N20</f>
        <v>32097</v>
      </c>
      <c r="K10" s="27"/>
      <c r="L10" s="43"/>
      <c r="M10" s="40" t="s">
        <v>49</v>
      </c>
      <c r="N10" s="30">
        <v>28653</v>
      </c>
      <c r="O10" s="30">
        <v>726</v>
      </c>
      <c r="P10" s="36">
        <f t="shared" si="0"/>
        <v>29379</v>
      </c>
      <c r="S10" s="16" t="s">
        <v>48</v>
      </c>
      <c r="T10" s="16" t="s">
        <v>20</v>
      </c>
      <c r="U10" s="32">
        <f>Y12+Y18+Y19+Y20</f>
        <v>95646</v>
      </c>
      <c r="V10" s="27"/>
      <c r="W10" s="43"/>
      <c r="X10" s="40" t="s">
        <v>49</v>
      </c>
      <c r="Y10" s="30">
        <v>75052</v>
      </c>
      <c r="Z10" s="30">
        <v>0</v>
      </c>
      <c r="AA10" s="36">
        <f t="shared" si="1"/>
        <v>75052</v>
      </c>
    </row>
    <row r="11" spans="1:27" ht="21.75" customHeight="1">
      <c r="A11" s="68" t="s">
        <v>50</v>
      </c>
      <c r="B11" s="6" t="s">
        <v>51</v>
      </c>
      <c r="C11" s="12">
        <f>(Y4-N4)/C3</f>
        <v>314.07988467874793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731</v>
      </c>
      <c r="P11" s="36">
        <f t="shared" si="0"/>
        <v>731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0</v>
      </c>
      <c r="AA11" s="36">
        <f t="shared" si="1"/>
        <v>0</v>
      </c>
    </row>
    <row r="12" spans="1:27" ht="21.75" customHeight="1">
      <c r="A12" s="70"/>
      <c r="B12" s="6" t="s">
        <v>53</v>
      </c>
      <c r="C12" s="12" t="e">
        <f>(Z4-O4)/C4</f>
        <v>#DIV/0!</v>
      </c>
      <c r="D12" s="8" t="s">
        <v>9</v>
      </c>
      <c r="H12" s="16" t="s">
        <v>54</v>
      </c>
      <c r="I12" s="16" t="s">
        <v>20</v>
      </c>
      <c r="J12" s="32">
        <f>N17</f>
        <v>1077.8600000000001</v>
      </c>
      <c r="K12" s="27"/>
      <c r="L12" s="43"/>
      <c r="M12" s="40" t="s">
        <v>55</v>
      </c>
      <c r="N12" s="30">
        <v>8995</v>
      </c>
      <c r="O12" s="30">
        <v>649</v>
      </c>
      <c r="P12" s="36">
        <f t="shared" si="0"/>
        <v>9644</v>
      </c>
      <c r="S12" s="16" t="s">
        <v>54</v>
      </c>
      <c r="T12" s="16" t="s">
        <v>20</v>
      </c>
      <c r="U12" s="32">
        <f>Y17</f>
        <v>3759.2999999999997</v>
      </c>
      <c r="V12" s="27"/>
      <c r="W12" s="43"/>
      <c r="X12" s="40" t="s">
        <v>55</v>
      </c>
      <c r="Y12" s="30">
        <v>27194</v>
      </c>
      <c r="Z12" s="30">
        <v>0</v>
      </c>
      <c r="AA12" s="36">
        <f t="shared" si="1"/>
        <v>27194</v>
      </c>
    </row>
    <row r="13" spans="1:27" ht="21.75" customHeight="1">
      <c r="A13" s="68" t="s">
        <v>56</v>
      </c>
      <c r="B13" s="6" t="s">
        <v>57</v>
      </c>
      <c r="C13" s="13">
        <f>(SUM(AA5:AA6)-SUM(P5:P6))/(AA4-AA7-(P4-P7))</f>
        <v>0.19411157464273021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14010</v>
      </c>
      <c r="O13" s="30">
        <v>1447</v>
      </c>
      <c r="P13" s="36">
        <f t="shared" si="0"/>
        <v>15457</v>
      </c>
      <c r="S13" s="16" t="s">
        <v>44</v>
      </c>
      <c r="T13" s="16"/>
      <c r="U13" s="32"/>
      <c r="V13" s="27"/>
      <c r="W13" s="43"/>
      <c r="X13" s="40" t="s">
        <v>58</v>
      </c>
      <c r="Y13" s="30">
        <v>21960</v>
      </c>
      <c r="Z13" s="30">
        <v>0</v>
      </c>
      <c r="AA13" s="36">
        <f t="shared" si="1"/>
        <v>21960</v>
      </c>
    </row>
    <row r="14" spans="1:27" ht="21.75" customHeight="1">
      <c r="A14" s="69"/>
      <c r="B14" s="6" t="s">
        <v>59</v>
      </c>
      <c r="C14" s="13">
        <f>(AA7-P7)/(AA4-P4)</f>
        <v>0.27008275986994401</v>
      </c>
      <c r="D14" s="8" t="s">
        <v>9</v>
      </c>
      <c r="H14" s="16" t="s">
        <v>60</v>
      </c>
      <c r="I14" s="16" t="s">
        <v>20</v>
      </c>
      <c r="J14" s="32">
        <f>N5+N6+N7</f>
        <v>217323.62</v>
      </c>
      <c r="K14" s="27"/>
      <c r="L14" s="43"/>
      <c r="M14" s="40" t="s">
        <v>61</v>
      </c>
      <c r="N14" s="30">
        <v>45043.7</v>
      </c>
      <c r="O14" s="30">
        <v>6929.5</v>
      </c>
      <c r="P14" s="36">
        <f t="shared" si="0"/>
        <v>51973.2</v>
      </c>
      <c r="S14" s="16" t="s">
        <v>60</v>
      </c>
      <c r="T14" s="16" t="s">
        <v>20</v>
      </c>
      <c r="U14" s="32">
        <f>Y5+Y6+Y7</f>
        <v>447822.15999999992</v>
      </c>
      <c r="V14" s="27"/>
      <c r="W14" s="43"/>
      <c r="X14" s="40" t="s">
        <v>61</v>
      </c>
      <c r="Y14" s="30">
        <v>123088.7</v>
      </c>
      <c r="Z14" s="30">
        <v>0</v>
      </c>
      <c r="AA14" s="36">
        <f t="shared" si="1"/>
        <v>123088.7</v>
      </c>
    </row>
    <row r="15" spans="1:27" ht="21.75" customHeight="1">
      <c r="A15" s="69"/>
      <c r="B15" s="6" t="s">
        <v>62</v>
      </c>
      <c r="C15" s="13">
        <f>(AA17-P17)/(AA4-P4)</f>
        <v>4.7779312182811007E-3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1013</v>
      </c>
      <c r="Z15" s="30">
        <v>0</v>
      </c>
      <c r="AA15" s="36">
        <f t="shared" si="1"/>
        <v>1013</v>
      </c>
    </row>
    <row r="16" spans="1:27" ht="21.75" customHeight="1">
      <c r="A16" s="69"/>
      <c r="B16" s="6" t="s">
        <v>64</v>
      </c>
      <c r="C16" s="13">
        <f>(SUM(AA12:AA13,AA18:AA20)-SUM(P12:P13,P18:P20))/(AA4-P4)</f>
        <v>0.12082946037560846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0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0.46262446369564547</v>
      </c>
      <c r="D17" s="8" t="s">
        <v>9</v>
      </c>
      <c r="H17" s="16" t="s">
        <v>69</v>
      </c>
      <c r="I17" s="16" t="s">
        <v>70</v>
      </c>
      <c r="J17" s="32">
        <f>O4</f>
        <v>14807.130000000001</v>
      </c>
      <c r="K17" s="27"/>
      <c r="L17" s="43"/>
      <c r="M17" s="40" t="s">
        <v>71</v>
      </c>
      <c r="N17" s="30">
        <v>1077.8600000000001</v>
      </c>
      <c r="O17" s="30">
        <v>19.5</v>
      </c>
      <c r="P17" s="36">
        <f t="shared" si="0"/>
        <v>1097.3600000000001</v>
      </c>
      <c r="S17" s="16" t="s">
        <v>69</v>
      </c>
      <c r="T17" s="16" t="s">
        <v>70</v>
      </c>
      <c r="U17" s="32">
        <f>Z4</f>
        <v>0</v>
      </c>
      <c r="V17" s="27"/>
      <c r="W17" s="43"/>
      <c r="X17" s="40" t="s">
        <v>71</v>
      </c>
      <c r="Y17" s="30">
        <v>3759.2999999999997</v>
      </c>
      <c r="Z17" s="30">
        <v>0</v>
      </c>
      <c r="AA17" s="36">
        <f t="shared" si="1"/>
        <v>3759.2999999999997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2780</v>
      </c>
      <c r="O18" s="30">
        <v>0</v>
      </c>
      <c r="P18" s="36">
        <f t="shared" si="0"/>
        <v>2780</v>
      </c>
      <c r="S18" s="16" t="s">
        <v>72</v>
      </c>
      <c r="T18" s="16" t="s">
        <v>20</v>
      </c>
      <c r="U18" s="32" t="e">
        <f>U17/U16</f>
        <v>#DIV/0!</v>
      </c>
      <c r="V18" s="27"/>
      <c r="W18" s="43"/>
      <c r="X18" s="40" t="s">
        <v>73</v>
      </c>
      <c r="Y18" s="30">
        <v>15568</v>
      </c>
      <c r="Z18" s="30">
        <v>0</v>
      </c>
      <c r="AA18" s="36">
        <f t="shared" si="1"/>
        <v>15568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9426.5</v>
      </c>
      <c r="K19" s="27"/>
      <c r="L19" s="43"/>
      <c r="M19" s="40" t="s">
        <v>75</v>
      </c>
      <c r="N19" s="30">
        <v>15459</v>
      </c>
      <c r="O19" s="30">
        <v>1921</v>
      </c>
      <c r="P19" s="36">
        <f t="shared" si="0"/>
        <v>17380</v>
      </c>
      <c r="S19" s="16" t="s">
        <v>74</v>
      </c>
      <c r="T19" s="16" t="s">
        <v>20</v>
      </c>
      <c r="U19" s="32">
        <f>(Z8+Z9+Z10+Z11+Z14+Z15)</f>
        <v>0</v>
      </c>
      <c r="V19" s="27"/>
      <c r="W19" s="43"/>
      <c r="X19" s="40" t="s">
        <v>75</v>
      </c>
      <c r="Y19" s="30">
        <v>43328</v>
      </c>
      <c r="Z19" s="30">
        <v>0</v>
      </c>
      <c r="AA19" s="36">
        <f t="shared" si="1"/>
        <v>43328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4863</v>
      </c>
      <c r="O20" s="30">
        <v>164</v>
      </c>
      <c r="P20" s="36">
        <f t="shared" si="0"/>
        <v>5027</v>
      </c>
      <c r="S20" s="16" t="s">
        <v>44</v>
      </c>
      <c r="T20" s="16"/>
      <c r="U20" s="32"/>
      <c r="V20" s="27"/>
      <c r="W20" s="43"/>
      <c r="X20" s="40" t="s">
        <v>76</v>
      </c>
      <c r="Y20" s="30">
        <v>9556</v>
      </c>
      <c r="Z20" s="30">
        <v>0</v>
      </c>
      <c r="AA20" s="36">
        <f t="shared" si="1"/>
        <v>9556</v>
      </c>
    </row>
    <row r="21" spans="1:27" ht="26.1" customHeight="1">
      <c r="H21" s="16" t="s">
        <v>77</v>
      </c>
      <c r="I21" s="16" t="s">
        <v>20</v>
      </c>
      <c r="J21" s="32">
        <f>O12+O18+O19+O20</f>
        <v>2734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f>Z12+Z18+Z19+Z20</f>
        <v>0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  <c r="S23" s="16" t="s">
        <v>54</v>
      </c>
      <c r="T23" s="16" t="s">
        <v>20</v>
      </c>
      <c r="U23" s="32">
        <f>Z17</f>
        <v>0</v>
      </c>
      <c r="V23" s="27"/>
      <c r="W23" s="43"/>
      <c r="X23" s="40" t="s">
        <v>80</v>
      </c>
      <c r="Y23" s="30">
        <v>0</v>
      </c>
      <c r="Z23" s="30">
        <v>0</v>
      </c>
      <c r="AA23" s="36">
        <f t="shared" si="1"/>
        <v>0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f t="shared" si="1"/>
        <v>0</v>
      </c>
    </row>
    <row r="25" spans="1:27" ht="26.1" customHeight="1">
      <c r="H25" s="16" t="s">
        <v>60</v>
      </c>
      <c r="I25" s="16" t="s">
        <v>20</v>
      </c>
      <c r="J25" s="32">
        <f>(O5+O6+O7)</f>
        <v>1089.19</v>
      </c>
      <c r="K25" s="27"/>
      <c r="L25" s="43"/>
      <c r="M25" s="40" t="s">
        <v>82</v>
      </c>
      <c r="N25" s="30">
        <v>58.620000000000005</v>
      </c>
      <c r="O25" s="30">
        <v>90.94</v>
      </c>
      <c r="P25" s="36">
        <f t="shared" si="0"/>
        <v>149.56</v>
      </c>
      <c r="S25" s="16" t="s">
        <v>60</v>
      </c>
      <c r="T25" s="16" t="s">
        <v>20</v>
      </c>
      <c r="U25" s="32">
        <f>(Z5+Z6+Z7)</f>
        <v>0</v>
      </c>
      <c r="V25" s="27"/>
      <c r="W25" s="43"/>
      <c r="X25" s="40" t="s">
        <v>82</v>
      </c>
      <c r="Y25" s="30">
        <v>71.11</v>
      </c>
      <c r="Z25" s="30">
        <v>0</v>
      </c>
      <c r="AA25" s="36">
        <f t="shared" si="1"/>
        <v>71.11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f t="shared" si="1"/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15180</v>
      </c>
      <c r="O27" s="30">
        <v>0</v>
      </c>
      <c r="P27" s="36">
        <f t="shared" si="0"/>
        <v>15180</v>
      </c>
      <c r="S27" s="22"/>
      <c r="T27" s="22"/>
      <c r="U27" s="42"/>
      <c r="V27" s="57"/>
      <c r="W27" s="58"/>
      <c r="X27" s="29" t="s">
        <v>84</v>
      </c>
      <c r="Y27" s="30">
        <v>157140</v>
      </c>
      <c r="Z27" s="30">
        <v>0</v>
      </c>
      <c r="AA27" s="36">
        <f t="shared" si="1"/>
        <v>157140</v>
      </c>
    </row>
    <row r="28" spans="1:27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  <c r="S28" s="23" t="s">
        <v>85</v>
      </c>
      <c r="T28" s="23" t="s">
        <v>66</v>
      </c>
      <c r="U28" s="48" t="e">
        <f>#REF!+#REF!</f>
        <v>#REF!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4050</v>
      </c>
      <c r="N29" s="24"/>
      <c r="O29" s="24"/>
      <c r="P29" s="24"/>
      <c r="W29" s="49" t="s">
        <v>86</v>
      </c>
      <c r="X29" s="50">
        <v>8145</v>
      </c>
      <c r="Y29" s="24"/>
      <c r="Z29" s="24"/>
      <c r="AA29" s="24"/>
    </row>
    <row r="30" spans="1:27" ht="26.1" customHeight="1">
      <c r="L30" s="51" t="s">
        <v>87</v>
      </c>
      <c r="M30" s="50">
        <v>0</v>
      </c>
      <c r="N30" s="24"/>
      <c r="O30" s="24"/>
      <c r="P30" s="24"/>
      <c r="W30" s="51" t="s">
        <v>87</v>
      </c>
      <c r="X30" s="50">
        <v>0</v>
      </c>
      <c r="Y30" s="24"/>
      <c r="Z30" s="24"/>
      <c r="AA30" s="24"/>
    </row>
    <row r="31" spans="1:27" ht="24">
      <c r="L31" s="51" t="s">
        <v>88</v>
      </c>
      <c r="M31" s="50">
        <v>0</v>
      </c>
      <c r="N31" s="24"/>
      <c r="O31" s="24"/>
      <c r="P31" s="24"/>
      <c r="W31" s="51" t="s">
        <v>88</v>
      </c>
      <c r="X31" s="50">
        <v>0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opLeftCell="C1" workbookViewId="0">
      <selection activeCell="C9" sqref="C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</cols>
  <sheetData>
    <row r="1" spans="1:16" ht="22.5">
      <c r="A1" s="65" t="s">
        <v>0</v>
      </c>
      <c r="B1" s="65"/>
      <c r="C1" s="65"/>
      <c r="H1" s="66" t="s">
        <v>124</v>
      </c>
      <c r="I1" s="66"/>
      <c r="J1" s="66"/>
      <c r="K1" s="66"/>
      <c r="L1" s="66"/>
      <c r="M1" s="66"/>
      <c r="N1" s="66"/>
      <c r="O1" s="66"/>
      <c r="P1" s="24"/>
    </row>
    <row r="2" spans="1:16" ht="21.75" customHeight="1">
      <c r="A2" s="59" t="s">
        <v>3</v>
      </c>
      <c r="B2" s="4" t="s">
        <v>4</v>
      </c>
      <c r="C2" s="5" t="s">
        <v>125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68" t="s">
        <v>7</v>
      </c>
      <c r="B3" s="6" t="s">
        <v>8</v>
      </c>
      <c r="C3" s="7">
        <f>J6</f>
        <v>2796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69"/>
      <c r="B4" s="6" t="s">
        <v>18</v>
      </c>
      <c r="C4" s="7">
        <f>J16</f>
        <v>0</v>
      </c>
      <c r="D4" s="8" t="s">
        <v>9</v>
      </c>
      <c r="H4" s="16" t="s">
        <v>19</v>
      </c>
      <c r="I4" s="16" t="s">
        <v>20</v>
      </c>
      <c r="J4" s="32">
        <f>N4+O4</f>
        <v>368419.93</v>
      </c>
      <c r="K4" s="27" t="s">
        <v>21</v>
      </c>
      <c r="L4" s="33">
        <f>ROUND((P5+P6)/(P4-P7),4)</f>
        <v>0.42159999999999997</v>
      </c>
      <c r="M4" s="34" t="s">
        <v>22</v>
      </c>
      <c r="N4" s="35">
        <f>SUM(N5:N27)</f>
        <v>353612.79999999999</v>
      </c>
      <c r="O4" s="35">
        <f>SUM(O5:O27)</f>
        <v>14807.130000000001</v>
      </c>
      <c r="P4" s="36">
        <f t="shared" ref="P4:P27" si="0">SUM(N4:O4)</f>
        <v>368419.93</v>
      </c>
    </row>
    <row r="5" spans="1:16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353612.79999999999</v>
      </c>
      <c r="K5" s="27" t="s">
        <v>26</v>
      </c>
      <c r="L5" s="33">
        <f>P17/P4</f>
        <v>2.978557647519232E-3</v>
      </c>
      <c r="M5" s="37" t="s">
        <v>27</v>
      </c>
      <c r="N5" s="30">
        <v>109137.53</v>
      </c>
      <c r="O5" s="30">
        <v>225.03</v>
      </c>
      <c r="P5" s="36">
        <f t="shared" si="0"/>
        <v>109362.56</v>
      </c>
    </row>
    <row r="6" spans="1:16" ht="21.75" customHeight="1">
      <c r="A6" s="69"/>
      <c r="B6" s="6" t="s">
        <v>28</v>
      </c>
      <c r="C6" s="7">
        <f>M28</f>
        <v>0</v>
      </c>
      <c r="D6" s="8" t="s">
        <v>9</v>
      </c>
      <c r="H6" s="16" t="s">
        <v>29</v>
      </c>
      <c r="I6" s="16" t="s">
        <v>30</v>
      </c>
      <c r="J6" s="38">
        <v>2796</v>
      </c>
      <c r="K6" s="27" t="s">
        <v>31</v>
      </c>
      <c r="L6" s="39">
        <f>(P12+P13+P18+P19+P20)/P4</f>
        <v>0.13649641592407882</v>
      </c>
      <c r="M6" s="40" t="s">
        <v>32</v>
      </c>
      <c r="N6" s="30">
        <v>0</v>
      </c>
      <c r="O6" s="30">
        <v>0</v>
      </c>
      <c r="P6" s="36">
        <f t="shared" si="0"/>
        <v>0</v>
      </c>
    </row>
    <row r="7" spans="1:16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126.47095851216022</v>
      </c>
      <c r="K7" s="27" t="s">
        <v>36</v>
      </c>
      <c r="L7" s="41">
        <f>(P4-P5-P6-P7-P17-P12-P13-P18-P19-P20)/P4</f>
        <v>0.2676884499706626</v>
      </c>
      <c r="M7" s="40" t="s">
        <v>37</v>
      </c>
      <c r="N7" s="30">
        <v>108186.09</v>
      </c>
      <c r="O7" s="30">
        <v>864.16</v>
      </c>
      <c r="P7" s="36">
        <f t="shared" si="0"/>
        <v>109050.25</v>
      </c>
    </row>
    <row r="8" spans="1:16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73865.7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</row>
    <row r="9" spans="1:16" ht="21.75" customHeight="1">
      <c r="A9" s="10" t="s">
        <v>42</v>
      </c>
      <c r="B9" s="6" t="s">
        <v>43</v>
      </c>
      <c r="C9" s="11" t="e">
        <f>M30/J16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1040</v>
      </c>
      <c r="P9" s="36">
        <f t="shared" si="0"/>
        <v>1040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f>N12+N18+N19+N20</f>
        <v>32097</v>
      </c>
      <c r="K10" s="27"/>
      <c r="L10" s="43"/>
      <c r="M10" s="40" t="s">
        <v>49</v>
      </c>
      <c r="N10" s="30">
        <v>28653</v>
      </c>
      <c r="O10" s="30">
        <v>726</v>
      </c>
      <c r="P10" s="36">
        <f t="shared" si="0"/>
        <v>29379</v>
      </c>
    </row>
    <row r="11" spans="1:16" ht="21.75" customHeight="1">
      <c r="A11" s="68" t="s">
        <v>50</v>
      </c>
      <c r="B11" s="6" t="s">
        <v>51</v>
      </c>
      <c r="C11" s="12">
        <f>J7</f>
        <v>126.47095851216022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731</v>
      </c>
      <c r="P11" s="36">
        <f t="shared" si="0"/>
        <v>731</v>
      </c>
    </row>
    <row r="12" spans="1:16" ht="21.75" customHeight="1">
      <c r="A12" s="70"/>
      <c r="B12" s="6" t="s">
        <v>53</v>
      </c>
      <c r="C12" s="12" t="e">
        <f>J18</f>
        <v>#DIV/0!</v>
      </c>
      <c r="D12" s="8" t="s">
        <v>9</v>
      </c>
      <c r="H12" s="16" t="s">
        <v>54</v>
      </c>
      <c r="I12" s="16" t="s">
        <v>20</v>
      </c>
      <c r="J12" s="32">
        <f>N17</f>
        <v>1077.8600000000001</v>
      </c>
      <c r="K12" s="27"/>
      <c r="L12" s="43"/>
      <c r="M12" s="40" t="s">
        <v>55</v>
      </c>
      <c r="N12" s="30">
        <v>8995</v>
      </c>
      <c r="O12" s="30">
        <v>649</v>
      </c>
      <c r="P12" s="36">
        <f t="shared" si="0"/>
        <v>9644</v>
      </c>
    </row>
    <row r="13" spans="1:16" ht="21.75" customHeight="1">
      <c r="A13" s="71" t="s">
        <v>56</v>
      </c>
      <c r="B13" s="6" t="s">
        <v>93</v>
      </c>
      <c r="C13" s="13">
        <f>L4</f>
        <v>0.42159999999999997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14010</v>
      </c>
      <c r="O13" s="30">
        <v>1447</v>
      </c>
      <c r="P13" s="36">
        <f t="shared" si="0"/>
        <v>15457</v>
      </c>
    </row>
    <row r="14" spans="1:16" ht="21.75" customHeight="1">
      <c r="A14" s="71"/>
      <c r="B14" s="6" t="s">
        <v>59</v>
      </c>
      <c r="C14" s="13">
        <f>P7/P4</f>
        <v>0.29599443765162214</v>
      </c>
      <c r="D14" s="8" t="s">
        <v>9</v>
      </c>
      <c r="H14" s="16" t="s">
        <v>60</v>
      </c>
      <c r="I14" s="16" t="s">
        <v>20</v>
      </c>
      <c r="J14" s="32">
        <f>N5+N6+N7</f>
        <v>217323.62</v>
      </c>
      <c r="K14" s="27"/>
      <c r="L14" s="43"/>
      <c r="M14" s="40" t="s">
        <v>61</v>
      </c>
      <c r="N14" s="30">
        <v>45043.7</v>
      </c>
      <c r="O14" s="30">
        <v>6929.5</v>
      </c>
      <c r="P14" s="36">
        <f t="shared" si="0"/>
        <v>51973.2</v>
      </c>
    </row>
    <row r="15" spans="1:16" ht="21.75" customHeight="1">
      <c r="A15" s="71"/>
      <c r="B15" s="6" t="s">
        <v>62</v>
      </c>
      <c r="C15" s="13">
        <f>P17/P4</f>
        <v>2.978557647519232E-3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</row>
    <row r="16" spans="1:16" ht="21.75" customHeight="1">
      <c r="A16" s="71"/>
      <c r="B16" s="6" t="s">
        <v>64</v>
      </c>
      <c r="C16" s="13">
        <f>L6</f>
        <v>0.13649641592407882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</row>
    <row r="17" spans="1:16" ht="21.75" customHeight="1">
      <c r="A17" s="71"/>
      <c r="B17" s="6" t="s">
        <v>68</v>
      </c>
      <c r="C17" s="13">
        <f>L7</f>
        <v>0.2676884499706626</v>
      </c>
      <c r="D17" s="8" t="s">
        <v>9</v>
      </c>
      <c r="H17" s="16" t="s">
        <v>69</v>
      </c>
      <c r="I17" s="16" t="s">
        <v>70</v>
      </c>
      <c r="J17" s="32">
        <f>O4</f>
        <v>14807.130000000001</v>
      </c>
      <c r="K17" s="27"/>
      <c r="L17" s="43"/>
      <c r="M17" s="40" t="s">
        <v>71</v>
      </c>
      <c r="N17" s="30">
        <v>1077.8600000000001</v>
      </c>
      <c r="O17" s="30">
        <v>19.5</v>
      </c>
      <c r="P17" s="36">
        <f t="shared" si="0"/>
        <v>1097.3600000000001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2780</v>
      </c>
      <c r="O18" s="30">
        <v>0</v>
      </c>
      <c r="P18" s="36">
        <f t="shared" si="0"/>
        <v>2780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9426.5</v>
      </c>
      <c r="K19" s="27"/>
      <c r="L19" s="43"/>
      <c r="M19" s="40" t="s">
        <v>75</v>
      </c>
      <c r="N19" s="30">
        <v>15459</v>
      </c>
      <c r="O19" s="30">
        <v>1921</v>
      </c>
      <c r="P19" s="36">
        <f t="shared" si="0"/>
        <v>17380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4863</v>
      </c>
      <c r="O20" s="30">
        <v>164</v>
      </c>
      <c r="P20" s="36">
        <f t="shared" si="0"/>
        <v>5027</v>
      </c>
    </row>
    <row r="21" spans="1:16" ht="26.1" customHeight="1">
      <c r="H21" s="16" t="s">
        <v>77</v>
      </c>
      <c r="I21" s="16" t="s">
        <v>20</v>
      </c>
      <c r="J21" s="32">
        <f>O12+O18+O19+O20</f>
        <v>2734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</row>
    <row r="23" spans="1:16" ht="26.1" customHeight="1">
      <c r="H23" s="16" t="s">
        <v>54</v>
      </c>
      <c r="I23" s="16" t="s">
        <v>20</v>
      </c>
      <c r="J23" s="32">
        <f>O17</f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</row>
    <row r="25" spans="1:16" ht="26.1" customHeight="1">
      <c r="H25" s="16" t="s">
        <v>60</v>
      </c>
      <c r="I25" s="16" t="s">
        <v>20</v>
      </c>
      <c r="J25" s="32">
        <f>(O5+O6+O7)</f>
        <v>1089.19</v>
      </c>
      <c r="K25" s="27"/>
      <c r="L25" s="43"/>
      <c r="M25" s="40" t="s">
        <v>82</v>
      </c>
      <c r="N25" s="30">
        <v>58.620000000000005</v>
      </c>
      <c r="O25" s="30">
        <v>90.94</v>
      </c>
      <c r="P25" s="36">
        <f t="shared" si="0"/>
        <v>149.56</v>
      </c>
    </row>
    <row r="26" spans="1:16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</row>
    <row r="27" spans="1:16" ht="26.1" customHeight="1">
      <c r="H27" s="22"/>
      <c r="I27" s="22"/>
      <c r="J27" s="42"/>
      <c r="K27" s="57"/>
      <c r="L27" s="58"/>
      <c r="M27" s="29" t="s">
        <v>84</v>
      </c>
      <c r="N27" s="30">
        <v>15180</v>
      </c>
      <c r="O27" s="30">
        <v>0</v>
      </c>
      <c r="P27" s="36">
        <f t="shared" si="0"/>
        <v>15180</v>
      </c>
    </row>
    <row r="28" spans="1:16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</row>
    <row r="29" spans="1:16" ht="26.1" customHeight="1">
      <c r="L29" s="49" t="s">
        <v>86</v>
      </c>
      <c r="M29" s="50">
        <v>4050</v>
      </c>
      <c r="N29" s="24"/>
      <c r="O29" s="24"/>
      <c r="P29" s="24"/>
    </row>
    <row r="30" spans="1:16" ht="26.1" customHeight="1">
      <c r="L30" s="51" t="s">
        <v>87</v>
      </c>
      <c r="M30" s="50">
        <v>0</v>
      </c>
      <c r="N30" s="24"/>
      <c r="O30" s="24"/>
      <c r="P30" s="24"/>
    </row>
    <row r="31" spans="1:16" ht="24">
      <c r="L31" s="51" t="s">
        <v>88</v>
      </c>
      <c r="M31" s="50">
        <v>0</v>
      </c>
      <c r="N31" s="24"/>
      <c r="O31" s="24"/>
      <c r="P31" s="24"/>
    </row>
  </sheetData>
  <mergeCells count="5">
    <mergeCell ref="A1:C1"/>
    <mergeCell ref="H1:O1"/>
    <mergeCell ref="A3:A8"/>
    <mergeCell ref="A11:A12"/>
    <mergeCell ref="A13:A17"/>
  </mergeCells>
  <phoneticPr fontId="9" type="noConversion"/>
  <pageMargins left="0.7" right="0.7" top="0.75" bottom="0.75" header="0.3" footer="0.3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topLeftCell="J1" workbookViewId="0">
      <selection activeCell="S1" sqref="S1:Z1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1" width="12" customWidth="1"/>
    <col min="12" max="12" width="15" customWidth="1"/>
    <col min="13" max="13" width="9.5" customWidth="1"/>
    <col min="14" max="15" width="13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5" t="s">
        <v>0</v>
      </c>
      <c r="B1" s="65"/>
      <c r="C1" s="65"/>
      <c r="H1" s="66" t="s">
        <v>1</v>
      </c>
      <c r="I1" s="66"/>
      <c r="J1" s="66"/>
      <c r="K1" s="66"/>
      <c r="L1" s="66"/>
      <c r="M1" s="66"/>
      <c r="N1" s="67"/>
      <c r="O1" s="67"/>
      <c r="P1" s="24"/>
      <c r="S1" s="66" t="s">
        <v>2</v>
      </c>
      <c r="T1" s="66"/>
      <c r="U1" s="66"/>
      <c r="V1" s="66"/>
      <c r="W1" s="66"/>
      <c r="X1" s="66"/>
      <c r="Y1" s="67"/>
      <c r="Z1" s="67"/>
      <c r="AA1" s="24"/>
    </row>
    <row r="2" spans="1:27" ht="21.75" customHeight="1">
      <c r="A2" s="3" t="s">
        <v>3</v>
      </c>
      <c r="B2" s="4" t="s">
        <v>4</v>
      </c>
      <c r="C2" s="60" t="s">
        <v>123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1646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f>N4+O4</f>
        <v>2313002.2599999998</v>
      </c>
      <c r="K4" s="27" t="s">
        <v>21</v>
      </c>
      <c r="L4" s="33">
        <f>ROUND((P5+P6)/(P4-P7),4)</f>
        <v>0.31359999999999999</v>
      </c>
      <c r="M4" s="34" t="s">
        <v>22</v>
      </c>
      <c r="N4" s="35">
        <f>SUM(N5:N27)</f>
        <v>2156229.25</v>
      </c>
      <c r="O4" s="35">
        <f>SUM(O5:O27)</f>
        <v>156773.01</v>
      </c>
      <c r="P4" s="36">
        <f t="shared" ref="P4:P27" si="0">SUM(N4:O4)</f>
        <v>2313002.2599999998</v>
      </c>
      <c r="S4" s="16" t="s">
        <v>19</v>
      </c>
      <c r="T4" s="16" t="s">
        <v>20</v>
      </c>
      <c r="U4" s="32">
        <v>2823123.86</v>
      </c>
      <c r="V4" s="27" t="s">
        <v>21</v>
      </c>
      <c r="W4" s="33">
        <v>0.30609999999999998</v>
      </c>
      <c r="X4" s="34" t="s">
        <v>22</v>
      </c>
      <c r="Y4" s="35">
        <v>2663048.63</v>
      </c>
      <c r="Z4" s="35">
        <v>160075.23000000001</v>
      </c>
      <c r="AA4" s="36">
        <v>2823123.86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2156229.25</v>
      </c>
      <c r="K5" s="27" t="s">
        <v>26</v>
      </c>
      <c r="L5" s="33">
        <f>P17/P4</f>
        <v>1.6031890950249201E-3</v>
      </c>
      <c r="M5" s="37" t="s">
        <v>27</v>
      </c>
      <c r="N5" s="30">
        <v>604554.97</v>
      </c>
      <c r="O5" s="30">
        <v>4067.94</v>
      </c>
      <c r="P5" s="36">
        <f t="shared" si="0"/>
        <v>608622.91</v>
      </c>
      <c r="S5" s="16" t="s">
        <v>25</v>
      </c>
      <c r="T5" s="16" t="s">
        <v>20</v>
      </c>
      <c r="U5" s="32">
        <v>2663048.63</v>
      </c>
      <c r="V5" s="27" t="s">
        <v>26</v>
      </c>
      <c r="W5" s="33">
        <v>1.49795411385174E-3</v>
      </c>
      <c r="X5" s="37" t="s">
        <v>27</v>
      </c>
      <c r="Y5" s="30">
        <v>693226.03</v>
      </c>
      <c r="Z5" s="30">
        <v>4067.94</v>
      </c>
      <c r="AA5" s="36">
        <v>697293.97</v>
      </c>
    </row>
    <row r="6" spans="1:27" ht="21.75" customHeight="1">
      <c r="A6" s="69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8370</v>
      </c>
      <c r="K6" s="27" t="s">
        <v>31</v>
      </c>
      <c r="L6" s="39">
        <f>(P12+P13+P18+P19+P20)/P4</f>
        <v>0.119516960610319</v>
      </c>
      <c r="M6" s="40" t="s">
        <v>32</v>
      </c>
      <c r="N6" s="30">
        <v>1476.69</v>
      </c>
      <c r="O6" s="30">
        <v>0</v>
      </c>
      <c r="P6" s="36">
        <f t="shared" si="0"/>
        <v>1476.69</v>
      </c>
      <c r="S6" s="16" t="s">
        <v>29</v>
      </c>
      <c r="T6" s="16" t="s">
        <v>30</v>
      </c>
      <c r="U6" s="38">
        <v>10016</v>
      </c>
      <c r="V6" s="27" t="s">
        <v>31</v>
      </c>
      <c r="W6" s="39">
        <v>0.107965507400727</v>
      </c>
      <c r="X6" s="40" t="s">
        <v>32</v>
      </c>
      <c r="Y6" s="30">
        <v>1476.69</v>
      </c>
      <c r="Z6" s="30">
        <v>0</v>
      </c>
      <c r="AA6" s="36">
        <v>1476.69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257.614008363202</v>
      </c>
      <c r="K7" s="27" t="s">
        <v>36</v>
      </c>
      <c r="L7" s="41">
        <f>(P4-P5-P6-P7-P17-P12-P13-P18-P19-P20)/P4</f>
        <v>0.45631074307726799</v>
      </c>
      <c r="M7" s="40" t="s">
        <v>37</v>
      </c>
      <c r="N7" s="30">
        <v>358605.12</v>
      </c>
      <c r="O7" s="30">
        <v>8698.58</v>
      </c>
      <c r="P7" s="36">
        <f t="shared" si="0"/>
        <v>367303.7</v>
      </c>
      <c r="S7" s="16" t="s">
        <v>35</v>
      </c>
      <c r="T7" s="16" t="s">
        <v>20</v>
      </c>
      <c r="U7" s="32">
        <v>265.87945587060699</v>
      </c>
      <c r="V7" s="27" t="s">
        <v>36</v>
      </c>
      <c r="W7" s="41">
        <v>0.45168902720407</v>
      </c>
      <c r="X7" s="40" t="s">
        <v>37</v>
      </c>
      <c r="Y7" s="30">
        <v>531451.64</v>
      </c>
      <c r="Z7" s="30">
        <v>8698.58</v>
      </c>
      <c r="AA7" s="36">
        <v>540150.22</v>
      </c>
    </row>
    <row r="8" spans="1:27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541942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v>636667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 t="e">
        <f>ROUND((X31-M31)/C4,0)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10322</v>
      </c>
      <c r="P9" s="36">
        <f t="shared" si="0"/>
        <v>10322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10686</v>
      </c>
      <c r="AA9" s="36">
        <v>10686</v>
      </c>
    </row>
    <row r="10" spans="1:27" ht="21.75" customHeight="1">
      <c r="A10" s="10" t="s">
        <v>46</v>
      </c>
      <c r="B10" s="6" t="s">
        <v>47</v>
      </c>
      <c r="C10" s="11">
        <v>27.89</v>
      </c>
      <c r="D10" s="8" t="s">
        <v>9</v>
      </c>
      <c r="H10" s="16" t="s">
        <v>48</v>
      </c>
      <c r="I10" s="16" t="s">
        <v>20</v>
      </c>
      <c r="J10" s="32">
        <f>N12+N18+N19+N20</f>
        <v>138144</v>
      </c>
      <c r="K10" s="27"/>
      <c r="L10" s="43"/>
      <c r="M10" s="40" t="s">
        <v>49</v>
      </c>
      <c r="N10" s="30">
        <v>122677</v>
      </c>
      <c r="O10" s="30">
        <v>7030</v>
      </c>
      <c r="P10" s="36">
        <f t="shared" si="0"/>
        <v>129707</v>
      </c>
      <c r="S10" s="16" t="s">
        <v>48</v>
      </c>
      <c r="T10" s="16" t="s">
        <v>20</v>
      </c>
      <c r="U10" s="32">
        <v>158389</v>
      </c>
      <c r="V10" s="27"/>
      <c r="W10" s="43"/>
      <c r="X10" s="40" t="s">
        <v>49</v>
      </c>
      <c r="Y10" s="30">
        <v>153491</v>
      </c>
      <c r="Z10" s="30">
        <v>7254</v>
      </c>
      <c r="AA10" s="36">
        <v>160745</v>
      </c>
    </row>
    <row r="11" spans="1:27" ht="21.75" customHeight="1">
      <c r="A11" s="68" t="s">
        <v>50</v>
      </c>
      <c r="B11" s="6" t="s">
        <v>51</v>
      </c>
      <c r="C11" s="12">
        <f>(Y4-N4)/C3</f>
        <v>307.909708383961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7355</v>
      </c>
      <c r="P11" s="36">
        <f t="shared" si="0"/>
        <v>7355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7593</v>
      </c>
      <c r="AA11" s="36">
        <v>7593</v>
      </c>
    </row>
    <row r="12" spans="1:27" ht="21.75" customHeight="1">
      <c r="A12" s="70"/>
      <c r="B12" s="6" t="s">
        <v>53</v>
      </c>
      <c r="C12" s="12" t="e">
        <f>(Z4-O4)/C4</f>
        <v>#DIV/0!</v>
      </c>
      <c r="D12" s="8" t="s">
        <v>9</v>
      </c>
      <c r="H12" s="16" t="s">
        <v>54</v>
      </c>
      <c r="I12" s="16" t="s">
        <v>20</v>
      </c>
      <c r="J12" s="32">
        <f>N17</f>
        <v>3337.79</v>
      </c>
      <c r="K12" s="27"/>
      <c r="L12" s="43"/>
      <c r="M12" s="40" t="s">
        <v>55</v>
      </c>
      <c r="N12" s="30">
        <v>36498</v>
      </c>
      <c r="O12" s="30">
        <v>5228</v>
      </c>
      <c r="P12" s="36">
        <f t="shared" si="0"/>
        <v>41726</v>
      </c>
      <c r="S12" s="16" t="s">
        <v>54</v>
      </c>
      <c r="T12" s="16" t="s">
        <v>20</v>
      </c>
      <c r="U12" s="32">
        <v>3858.52</v>
      </c>
      <c r="V12" s="27"/>
      <c r="W12" s="43"/>
      <c r="X12" s="40" t="s">
        <v>55</v>
      </c>
      <c r="Y12" s="30">
        <v>41026</v>
      </c>
      <c r="Z12" s="30">
        <v>5323</v>
      </c>
      <c r="AA12" s="36">
        <v>46349</v>
      </c>
    </row>
    <row r="13" spans="1:27" ht="21.75" customHeight="1">
      <c r="A13" s="68" t="s">
        <v>56</v>
      </c>
      <c r="B13" s="6" t="s">
        <v>57</v>
      </c>
      <c r="C13" s="13">
        <f>(SUM(AA5:AA6)-SUM(P5:P6))/(AA4-AA7-(P4-P7))</f>
        <v>0.26290427386452703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99508</v>
      </c>
      <c r="O13" s="30">
        <v>17354</v>
      </c>
      <c r="P13" s="36">
        <f t="shared" si="0"/>
        <v>116862</v>
      </c>
      <c r="S13" s="16" t="s">
        <v>44</v>
      </c>
      <c r="T13" s="16"/>
      <c r="U13" s="32"/>
      <c r="V13" s="27"/>
      <c r="W13" s="43"/>
      <c r="X13" s="40" t="s">
        <v>58</v>
      </c>
      <c r="Y13" s="30">
        <v>106412</v>
      </c>
      <c r="Z13" s="30">
        <v>17656</v>
      </c>
      <c r="AA13" s="36">
        <v>124068</v>
      </c>
    </row>
    <row r="14" spans="1:27" ht="21.75" customHeight="1">
      <c r="A14" s="69"/>
      <c r="B14" s="6" t="s">
        <v>59</v>
      </c>
      <c r="C14" s="13">
        <f>(AA7-P7)/(AA4-P4)</f>
        <v>0.33883395645273601</v>
      </c>
      <c r="D14" s="8" t="s">
        <v>9</v>
      </c>
      <c r="H14" s="16" t="s">
        <v>60</v>
      </c>
      <c r="I14" s="16" t="s">
        <v>20</v>
      </c>
      <c r="J14" s="32">
        <f>N5+N6+N7</f>
        <v>964636.78</v>
      </c>
      <c r="K14" s="27"/>
      <c r="L14" s="43"/>
      <c r="M14" s="40" t="s">
        <v>61</v>
      </c>
      <c r="N14" s="30">
        <v>419033</v>
      </c>
      <c r="O14" s="30">
        <v>79347.5</v>
      </c>
      <c r="P14" s="36">
        <f t="shared" si="0"/>
        <v>498380.5</v>
      </c>
      <c r="S14" s="16" t="s">
        <v>60</v>
      </c>
      <c r="T14" s="16" t="s">
        <v>20</v>
      </c>
      <c r="U14" s="32">
        <v>1226154.3600000001</v>
      </c>
      <c r="V14" s="27"/>
      <c r="W14" s="43"/>
      <c r="X14" s="40" t="s">
        <v>61</v>
      </c>
      <c r="Y14" s="30">
        <v>482944</v>
      </c>
      <c r="Z14" s="30">
        <v>80615.5</v>
      </c>
      <c r="AA14" s="36">
        <v>563559.5</v>
      </c>
    </row>
    <row r="15" spans="1:27" ht="21.75" customHeight="1">
      <c r="A15" s="69"/>
      <c r="B15" s="6" t="s">
        <v>62</v>
      </c>
      <c r="C15" s="13">
        <f>(AA17-P17)/(AA4-P4)</f>
        <v>1.0207958259363999E-3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169</v>
      </c>
      <c r="Z15" s="30">
        <v>0</v>
      </c>
      <c r="AA15" s="36">
        <v>169</v>
      </c>
    </row>
    <row r="16" spans="1:27" ht="21.75" customHeight="1">
      <c r="A16" s="69"/>
      <c r="B16" s="6" t="s">
        <v>64</v>
      </c>
      <c r="C16" s="13">
        <f>(SUM(AA12:AA13,AA18:AA20)-SUM(P12:P13,P18:P20))/(AA4-P4)</f>
        <v>5.5588706692678798E-2</v>
      </c>
      <c r="D16" s="8" t="s">
        <v>9</v>
      </c>
      <c r="H16" s="16" t="s">
        <v>65</v>
      </c>
      <c r="I16" s="16" t="s">
        <v>66</v>
      </c>
      <c r="J16" s="38">
        <v>33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33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0.43073316244597298</v>
      </c>
      <c r="D17" s="8" t="s">
        <v>9</v>
      </c>
      <c r="H17" s="16" t="s">
        <v>69</v>
      </c>
      <c r="I17" s="16" t="s">
        <v>70</v>
      </c>
      <c r="J17" s="32">
        <f>O4</f>
        <v>156773.01</v>
      </c>
      <c r="K17" s="27"/>
      <c r="L17" s="43"/>
      <c r="M17" s="40" t="s">
        <v>71</v>
      </c>
      <c r="N17" s="30">
        <v>3337.79</v>
      </c>
      <c r="O17" s="30">
        <v>370.39</v>
      </c>
      <c r="P17" s="36">
        <f t="shared" si="0"/>
        <v>3708.18</v>
      </c>
      <c r="S17" s="16" t="s">
        <v>69</v>
      </c>
      <c r="T17" s="16" t="s">
        <v>70</v>
      </c>
      <c r="U17" s="32">
        <v>160075.23000000001</v>
      </c>
      <c r="V17" s="27"/>
      <c r="W17" s="43"/>
      <c r="X17" s="40" t="s">
        <v>71</v>
      </c>
      <c r="Y17" s="30">
        <v>3858.52</v>
      </c>
      <c r="Z17" s="30">
        <v>370.39</v>
      </c>
      <c r="AA17" s="36">
        <v>4228.91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f>J17/J16</f>
        <v>4750.6972727272696</v>
      </c>
      <c r="K18" s="27"/>
      <c r="L18" s="43"/>
      <c r="M18" s="40" t="s">
        <v>73</v>
      </c>
      <c r="N18" s="30">
        <v>21684</v>
      </c>
      <c r="O18" s="30">
        <v>3890</v>
      </c>
      <c r="P18" s="36">
        <f t="shared" si="0"/>
        <v>25574</v>
      </c>
      <c r="S18" s="16" t="s">
        <v>72</v>
      </c>
      <c r="T18" s="16" t="s">
        <v>20</v>
      </c>
      <c r="U18" s="32">
        <v>4850.76454545455</v>
      </c>
      <c r="V18" s="27"/>
      <c r="W18" s="43"/>
      <c r="X18" s="40" t="s">
        <v>73</v>
      </c>
      <c r="Y18" s="30">
        <v>27244</v>
      </c>
      <c r="Z18" s="30">
        <v>3890</v>
      </c>
      <c r="AA18" s="36">
        <v>31134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104054.5</v>
      </c>
      <c r="K19" s="27"/>
      <c r="L19" s="43"/>
      <c r="M19" s="40" t="s">
        <v>75</v>
      </c>
      <c r="N19" s="30">
        <v>44915</v>
      </c>
      <c r="O19" s="30">
        <v>10061</v>
      </c>
      <c r="P19" s="36">
        <f t="shared" si="0"/>
        <v>54976</v>
      </c>
      <c r="S19" s="16" t="s">
        <v>74</v>
      </c>
      <c r="T19" s="16" t="s">
        <v>20</v>
      </c>
      <c r="U19" s="32">
        <v>106148.5</v>
      </c>
      <c r="V19" s="27"/>
      <c r="W19" s="43"/>
      <c r="X19" s="40" t="s">
        <v>75</v>
      </c>
      <c r="Y19" s="30">
        <v>51603</v>
      </c>
      <c r="Z19" s="30">
        <v>10872</v>
      </c>
      <c r="AA19" s="36">
        <v>62475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35047</v>
      </c>
      <c r="O20" s="30">
        <v>2258</v>
      </c>
      <c r="P20" s="36">
        <f t="shared" si="0"/>
        <v>37305</v>
      </c>
      <c r="S20" s="16" t="s">
        <v>44</v>
      </c>
      <c r="T20" s="16"/>
      <c r="U20" s="32"/>
      <c r="V20" s="27"/>
      <c r="W20" s="43"/>
      <c r="X20" s="40" t="s">
        <v>76</v>
      </c>
      <c r="Y20" s="30">
        <v>38516</v>
      </c>
      <c r="Z20" s="30">
        <v>2258</v>
      </c>
      <c r="AA20" s="36">
        <v>40774</v>
      </c>
    </row>
    <row r="21" spans="1:27" ht="26.1" customHeight="1">
      <c r="H21" s="16" t="s">
        <v>77</v>
      </c>
      <c r="I21" s="16" t="s">
        <v>20</v>
      </c>
      <c r="J21" s="32">
        <f>O12+O18+O19+O20</f>
        <v>21437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v>22343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f>O17</f>
        <v>370.39</v>
      </c>
      <c r="K23" s="27"/>
      <c r="L23" s="43"/>
      <c r="M23" s="40" t="s">
        <v>80</v>
      </c>
      <c r="N23" s="30">
        <v>238.5</v>
      </c>
      <c r="O23" s="30">
        <v>0</v>
      </c>
      <c r="P23" s="36">
        <f t="shared" si="0"/>
        <v>238.5</v>
      </c>
      <c r="S23" s="16" t="s">
        <v>54</v>
      </c>
      <c r="T23" s="16" t="s">
        <v>20</v>
      </c>
      <c r="U23" s="32">
        <v>370.39</v>
      </c>
      <c r="V23" s="27"/>
      <c r="W23" s="43"/>
      <c r="X23" s="40" t="s">
        <v>80</v>
      </c>
      <c r="Y23" s="30">
        <v>238.5</v>
      </c>
      <c r="Z23" s="30">
        <v>0</v>
      </c>
      <c r="AA23" s="36">
        <v>238.5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f t="shared" si="0"/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12766.52</v>
      </c>
      <c r="K25" s="27"/>
      <c r="L25" s="43"/>
      <c r="M25" s="40" t="s">
        <v>82</v>
      </c>
      <c r="N25" s="30">
        <v>2144.1799999999998</v>
      </c>
      <c r="O25" s="30">
        <v>790.6</v>
      </c>
      <c r="P25" s="36">
        <f t="shared" si="0"/>
        <v>2934.78</v>
      </c>
      <c r="S25" s="16" t="s">
        <v>60</v>
      </c>
      <c r="T25" s="16" t="s">
        <v>20</v>
      </c>
      <c r="U25" s="32">
        <v>12766.52</v>
      </c>
      <c r="V25" s="27"/>
      <c r="W25" s="43"/>
      <c r="X25" s="40" t="s">
        <v>82</v>
      </c>
      <c r="Y25" s="30">
        <v>2211.25</v>
      </c>
      <c r="Z25" s="30">
        <v>790.82</v>
      </c>
      <c r="AA25" s="36">
        <v>3002.07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63</v>
      </c>
      <c r="O26" s="30">
        <v>0</v>
      </c>
      <c r="P26" s="36">
        <f t="shared" si="0"/>
        <v>63</v>
      </c>
      <c r="S26" s="22" t="s">
        <v>44</v>
      </c>
      <c r="T26" s="22"/>
      <c r="U26" s="42"/>
      <c r="V26" s="45"/>
      <c r="W26" s="46"/>
      <c r="X26" s="29" t="s">
        <v>83</v>
      </c>
      <c r="Y26" s="30">
        <v>63</v>
      </c>
      <c r="Z26" s="30">
        <v>0</v>
      </c>
      <c r="AA26" s="36">
        <v>63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405940</v>
      </c>
      <c r="O27" s="30">
        <v>0</v>
      </c>
      <c r="P27" s="36">
        <f t="shared" si="0"/>
        <v>405940</v>
      </c>
      <c r="S27" s="22"/>
      <c r="T27" s="22"/>
      <c r="U27" s="42"/>
      <c r="V27" s="57"/>
      <c r="W27" s="58"/>
      <c r="X27" s="29" t="s">
        <v>84</v>
      </c>
      <c r="Y27" s="30">
        <v>528780</v>
      </c>
      <c r="Z27" s="30">
        <v>0</v>
      </c>
      <c r="AA27" s="36">
        <v>528780</v>
      </c>
    </row>
    <row r="28" spans="1:27" ht="26.1" customHeight="1">
      <c r="H28" s="23" t="s">
        <v>85</v>
      </c>
      <c r="I28" s="23" t="s">
        <v>66</v>
      </c>
      <c r="J28" s="48">
        <v>22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>
        <v>32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12285</v>
      </c>
      <c r="N29" s="24"/>
      <c r="O29" s="24"/>
      <c r="P29" s="24"/>
      <c r="W29" s="49" t="s">
        <v>86</v>
      </c>
      <c r="X29" s="50">
        <v>16425</v>
      </c>
      <c r="Y29" s="24"/>
      <c r="Z29" s="24"/>
      <c r="AA29" s="24"/>
    </row>
    <row r="30" spans="1:27" ht="26.1" customHeight="1">
      <c r="L30" s="51" t="s">
        <v>87</v>
      </c>
      <c r="M30" s="50">
        <v>890</v>
      </c>
      <c r="N30" s="24"/>
      <c r="O30" s="24"/>
      <c r="P30" s="24"/>
      <c r="W30" s="51" t="s">
        <v>87</v>
      </c>
      <c r="X30" s="50">
        <v>427</v>
      </c>
      <c r="Y30" s="24"/>
      <c r="Z30" s="24"/>
      <c r="AA30" s="24"/>
    </row>
    <row r="31" spans="1:27" ht="24">
      <c r="L31" s="51" t="s">
        <v>88</v>
      </c>
      <c r="M31" s="50">
        <v>570</v>
      </c>
      <c r="N31" s="24"/>
      <c r="O31" s="24"/>
      <c r="P31" s="24"/>
      <c r="W31" s="51" t="s">
        <v>88</v>
      </c>
      <c r="X31" s="50">
        <v>427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C9" sqref="C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5" t="s">
        <v>0</v>
      </c>
      <c r="B1" s="65"/>
      <c r="C1" s="65"/>
      <c r="H1" s="66" t="s">
        <v>89</v>
      </c>
      <c r="I1" s="66"/>
      <c r="J1" s="66"/>
      <c r="K1" s="66"/>
      <c r="L1" s="66"/>
      <c r="M1" s="66"/>
      <c r="N1" s="67"/>
      <c r="O1" s="67"/>
      <c r="P1" s="24"/>
      <c r="S1" s="66" t="s">
        <v>1</v>
      </c>
      <c r="T1" s="66"/>
      <c r="U1" s="66"/>
      <c r="V1" s="66"/>
      <c r="W1" s="66"/>
      <c r="X1" s="66"/>
      <c r="Y1" s="67"/>
      <c r="Z1" s="67"/>
      <c r="AA1" s="24"/>
    </row>
    <row r="2" spans="1:27" ht="21.75" customHeight="1">
      <c r="A2" s="3" t="s">
        <v>3</v>
      </c>
      <c r="B2" s="4" t="s">
        <v>4</v>
      </c>
      <c r="C2" s="3" t="s">
        <v>5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2919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17</v>
      </c>
      <c r="D4" s="8" t="s">
        <v>9</v>
      </c>
      <c r="H4" s="16" t="s">
        <v>19</v>
      </c>
      <c r="I4" s="16" t="s">
        <v>20</v>
      </c>
      <c r="J4" s="32">
        <f>N4+O4</f>
        <v>1561625.19</v>
      </c>
      <c r="K4" s="27" t="s">
        <v>21</v>
      </c>
      <c r="L4" s="33">
        <f>ROUND((P5+P6)/(P4-P7),4)</f>
        <v>0.38890000000000002</v>
      </c>
      <c r="M4" s="34" t="s">
        <v>22</v>
      </c>
      <c r="N4" s="35">
        <f>SUM(N5:N27)</f>
        <v>1470625.16</v>
      </c>
      <c r="O4" s="35">
        <f>SUM(O5:O27)</f>
        <v>91000.03</v>
      </c>
      <c r="P4" s="36">
        <f t="shared" ref="P4:P27" si="0">SUM(N4:O4)</f>
        <v>1561625.19</v>
      </c>
      <c r="S4" s="16" t="s">
        <v>19</v>
      </c>
      <c r="T4" s="16" t="s">
        <v>20</v>
      </c>
      <c r="U4" s="32">
        <f>Y4+Z4</f>
        <v>2313002.2599999998</v>
      </c>
      <c r="V4" s="27" t="s">
        <v>21</v>
      </c>
      <c r="W4" s="33">
        <f>ROUND((AA5+AA6)/(AA4-AA7),4)</f>
        <v>0.31359999999999999</v>
      </c>
      <c r="X4" s="34" t="s">
        <v>22</v>
      </c>
      <c r="Y4" s="35">
        <f>SUM(Y5:Y27)</f>
        <v>2156229.25</v>
      </c>
      <c r="Z4" s="35">
        <f>SUM(Z5:Z27)</f>
        <v>156773.01</v>
      </c>
      <c r="AA4" s="36">
        <f t="shared" ref="AA4:AA27" si="1">SUM(Y4:Z4)</f>
        <v>2313002.2599999998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1470625.16</v>
      </c>
      <c r="K5" s="27" t="s">
        <v>26</v>
      </c>
      <c r="L5" s="33">
        <f>P17/P4</f>
        <v>1.8635777769440301E-3</v>
      </c>
      <c r="M5" s="37" t="s">
        <v>27</v>
      </c>
      <c r="N5" s="30">
        <v>509178.89</v>
      </c>
      <c r="O5" s="30">
        <v>2789.79</v>
      </c>
      <c r="P5" s="36">
        <f t="shared" si="0"/>
        <v>511968.68</v>
      </c>
      <c r="S5" s="16" t="s">
        <v>25</v>
      </c>
      <c r="T5" s="16" t="s">
        <v>20</v>
      </c>
      <c r="U5" s="32">
        <f>Y4</f>
        <v>2156229.25</v>
      </c>
      <c r="V5" s="27" t="s">
        <v>26</v>
      </c>
      <c r="W5" s="33">
        <f>AA17/AA4</f>
        <v>1.6031890950249201E-3</v>
      </c>
      <c r="X5" s="37" t="s">
        <v>27</v>
      </c>
      <c r="Y5" s="30">
        <v>604554.97</v>
      </c>
      <c r="Z5" s="30">
        <v>4067.94</v>
      </c>
      <c r="AA5" s="36">
        <f t="shared" si="1"/>
        <v>608622.91</v>
      </c>
    </row>
    <row r="6" spans="1:27" ht="21.75" customHeight="1">
      <c r="A6" s="69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5451</v>
      </c>
      <c r="K6" s="27" t="s">
        <v>31</v>
      </c>
      <c r="L6" s="39">
        <f>(P12+P13+P18+P19+P20)/P4</f>
        <v>0.136341934904367</v>
      </c>
      <c r="M6" s="40" t="s">
        <v>32</v>
      </c>
      <c r="N6" s="30">
        <v>1476.69</v>
      </c>
      <c r="O6" s="30">
        <v>0</v>
      </c>
      <c r="P6" s="36">
        <f t="shared" si="0"/>
        <v>1476.69</v>
      </c>
      <c r="S6" s="16" t="s">
        <v>29</v>
      </c>
      <c r="T6" s="16" t="s">
        <v>30</v>
      </c>
      <c r="U6" s="38">
        <v>8370</v>
      </c>
      <c r="V6" s="27" t="s">
        <v>31</v>
      </c>
      <c r="W6" s="39">
        <f>(AA12+AA13+AA18+AA19+AA20)/AA4</f>
        <v>0.119516960610319</v>
      </c>
      <c r="X6" s="40" t="s">
        <v>32</v>
      </c>
      <c r="Y6" s="30">
        <v>1476.69</v>
      </c>
      <c r="Z6" s="30">
        <v>0</v>
      </c>
      <c r="AA6" s="36">
        <f t="shared" si="1"/>
        <v>1476.69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269.78997615116498</v>
      </c>
      <c r="K7" s="27" t="s">
        <v>36</v>
      </c>
      <c r="L7" s="41">
        <f>(P4-P5-P6-P7-P17-P12-P13-P18-P19-P20)/P4</f>
        <v>0.37838856838624602</v>
      </c>
      <c r="M7" s="40" t="s">
        <v>37</v>
      </c>
      <c r="N7" s="30">
        <v>236322.82</v>
      </c>
      <c r="O7" s="30">
        <v>5130.67</v>
      </c>
      <c r="P7" s="36">
        <f t="shared" si="0"/>
        <v>241453.49</v>
      </c>
      <c r="S7" s="16" t="s">
        <v>35</v>
      </c>
      <c r="T7" s="16" t="s">
        <v>20</v>
      </c>
      <c r="U7" s="32">
        <f>U5/U6</f>
        <v>257.614008363202</v>
      </c>
      <c r="V7" s="27" t="s">
        <v>36</v>
      </c>
      <c r="W7" s="41">
        <f>(AA4-AA5-AA6-AA7-AA17-AA12-AA13-AA18-AA19-AA20)/AA4</f>
        <v>0.45631074307726799</v>
      </c>
      <c r="X7" s="40" t="s">
        <v>37</v>
      </c>
      <c r="Y7" s="30">
        <v>358605.12</v>
      </c>
      <c r="Z7" s="30">
        <v>8698.58</v>
      </c>
      <c r="AA7" s="36">
        <f t="shared" si="1"/>
        <v>367303.7</v>
      </c>
    </row>
    <row r="8" spans="1:27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330019.5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541942</v>
      </c>
      <c r="V8" s="27"/>
      <c r="W8" s="43"/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23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5772</v>
      </c>
      <c r="P9" s="36">
        <f t="shared" si="0"/>
        <v>5772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10322</v>
      </c>
      <c r="AA9" s="36">
        <f t="shared" si="1"/>
        <v>10322</v>
      </c>
    </row>
    <row r="10" spans="1:27" ht="21.75" customHeight="1">
      <c r="A10" s="10" t="s">
        <v>46</v>
      </c>
      <c r="B10" s="6" t="s">
        <v>47</v>
      </c>
      <c r="C10" s="11">
        <v>27.89</v>
      </c>
      <c r="D10" s="8" t="s">
        <v>9</v>
      </c>
      <c r="H10" s="16" t="s">
        <v>48</v>
      </c>
      <c r="I10" s="16" t="s">
        <v>20</v>
      </c>
      <c r="J10" s="32">
        <f>N12+N18+N19+N20</f>
        <v>108889</v>
      </c>
      <c r="K10" s="27"/>
      <c r="L10" s="43"/>
      <c r="M10" s="40" t="s">
        <v>49</v>
      </c>
      <c r="N10" s="30">
        <v>76611</v>
      </c>
      <c r="O10" s="30">
        <v>3929</v>
      </c>
      <c r="P10" s="36">
        <f t="shared" si="0"/>
        <v>80540</v>
      </c>
      <c r="S10" s="16" t="s">
        <v>48</v>
      </c>
      <c r="T10" s="16" t="s">
        <v>20</v>
      </c>
      <c r="U10" s="32">
        <f>Y12+Y18+Y19+Y20</f>
        <v>138144</v>
      </c>
      <c r="V10" s="27"/>
      <c r="W10" s="43"/>
      <c r="X10" s="40" t="s">
        <v>49</v>
      </c>
      <c r="Y10" s="30">
        <v>122677</v>
      </c>
      <c r="Z10" s="30">
        <v>7030</v>
      </c>
      <c r="AA10" s="36">
        <f t="shared" si="1"/>
        <v>129707</v>
      </c>
    </row>
    <row r="11" spans="1:27" ht="21.75" customHeight="1">
      <c r="A11" s="68" t="s">
        <v>50</v>
      </c>
      <c r="B11" s="6" t="s">
        <v>51</v>
      </c>
      <c r="C11" s="12">
        <f>(Y4-N4)/C3</f>
        <v>234.876358341898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4159</v>
      </c>
      <c r="P11" s="36">
        <f t="shared" si="0"/>
        <v>4159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7355</v>
      </c>
      <c r="AA11" s="36">
        <f t="shared" si="1"/>
        <v>7355</v>
      </c>
    </row>
    <row r="12" spans="1:27" ht="21.75" customHeight="1">
      <c r="A12" s="70"/>
      <c r="B12" s="6" t="s">
        <v>53</v>
      </c>
      <c r="C12" s="12">
        <f>(Z4-O4)/C4</f>
        <v>3868.9988235294099</v>
      </c>
      <c r="D12" s="8" t="s">
        <v>9</v>
      </c>
      <c r="H12" s="16" t="s">
        <v>54</v>
      </c>
      <c r="I12" s="16" t="s">
        <v>20</v>
      </c>
      <c r="J12" s="32">
        <f>N17</f>
        <v>2655.16</v>
      </c>
      <c r="K12" s="27"/>
      <c r="L12" s="43"/>
      <c r="M12" s="40" t="s">
        <v>55</v>
      </c>
      <c r="N12" s="30">
        <v>29165</v>
      </c>
      <c r="O12" s="30">
        <v>3438</v>
      </c>
      <c r="P12" s="36">
        <f t="shared" si="0"/>
        <v>32603</v>
      </c>
      <c r="S12" s="16" t="s">
        <v>54</v>
      </c>
      <c r="T12" s="16" t="s">
        <v>20</v>
      </c>
      <c r="U12" s="32">
        <f>Y17</f>
        <v>3337.79</v>
      </c>
      <c r="V12" s="27"/>
      <c r="W12" s="43"/>
      <c r="X12" s="40" t="s">
        <v>55</v>
      </c>
      <c r="Y12" s="30">
        <v>36498</v>
      </c>
      <c r="Z12" s="30">
        <v>5228</v>
      </c>
      <c r="AA12" s="36">
        <f t="shared" si="1"/>
        <v>41726</v>
      </c>
    </row>
    <row r="13" spans="1:27" ht="21.75" customHeight="1">
      <c r="A13" s="68" t="s">
        <v>56</v>
      </c>
      <c r="B13" s="6" t="s">
        <v>57</v>
      </c>
      <c r="C13" s="13">
        <f>(SUM(AA5:AA6)-SUM(P5:P6))/(AA4-AA7-(P4-P7))</f>
        <v>0.15451651428685201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77676</v>
      </c>
      <c r="O13" s="30">
        <v>12927</v>
      </c>
      <c r="P13" s="36">
        <f t="shared" si="0"/>
        <v>90603</v>
      </c>
      <c r="S13" s="16" t="s">
        <v>44</v>
      </c>
      <c r="T13" s="16"/>
      <c r="U13" s="32"/>
      <c r="V13" s="27"/>
      <c r="W13" s="43"/>
      <c r="X13" s="40" t="s">
        <v>58</v>
      </c>
      <c r="Y13" s="30">
        <v>99508</v>
      </c>
      <c r="Z13" s="30">
        <v>17354</v>
      </c>
      <c r="AA13" s="36">
        <f t="shared" si="1"/>
        <v>116862</v>
      </c>
    </row>
    <row r="14" spans="1:27" ht="21.75" customHeight="1">
      <c r="A14" s="69"/>
      <c r="B14" s="6" t="s">
        <v>59</v>
      </c>
      <c r="C14" s="13">
        <f>(AA7-P7)/(AA4-P4)</f>
        <v>0.167492747682598</v>
      </c>
      <c r="D14" s="8" t="s">
        <v>9</v>
      </c>
      <c r="H14" s="16" t="s">
        <v>60</v>
      </c>
      <c r="I14" s="16" t="s">
        <v>20</v>
      </c>
      <c r="J14" s="32">
        <f>N5+N6+N7</f>
        <v>746978.4</v>
      </c>
      <c r="K14" s="27"/>
      <c r="L14" s="43"/>
      <c r="M14" s="40" t="s">
        <v>61</v>
      </c>
      <c r="N14" s="30">
        <v>253205</v>
      </c>
      <c r="O14" s="30">
        <v>41899</v>
      </c>
      <c r="P14" s="36">
        <f t="shared" si="0"/>
        <v>295104</v>
      </c>
      <c r="S14" s="16" t="s">
        <v>60</v>
      </c>
      <c r="T14" s="16" t="s">
        <v>20</v>
      </c>
      <c r="U14" s="32">
        <f>Y5+Y6+Y7</f>
        <v>964636.78</v>
      </c>
      <c r="V14" s="27"/>
      <c r="W14" s="43"/>
      <c r="X14" s="40" t="s">
        <v>61</v>
      </c>
      <c r="Y14" s="30">
        <v>419033</v>
      </c>
      <c r="Z14" s="30">
        <v>79347.5</v>
      </c>
      <c r="AA14" s="36">
        <f t="shared" si="1"/>
        <v>498380.5</v>
      </c>
    </row>
    <row r="15" spans="1:27" ht="21.75" customHeight="1">
      <c r="A15" s="69"/>
      <c r="B15" s="6" t="s">
        <v>62</v>
      </c>
      <c r="C15" s="13">
        <f>(AA17-P17)/(AA4-P4)</f>
        <v>1.06201005042648E-3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169</v>
      </c>
      <c r="Z15" s="30">
        <v>0</v>
      </c>
      <c r="AA15" s="36">
        <f t="shared" si="1"/>
        <v>169</v>
      </c>
    </row>
    <row r="16" spans="1:27" ht="21.75" customHeight="1">
      <c r="A16" s="69"/>
      <c r="B16" s="6" t="s">
        <v>64</v>
      </c>
      <c r="C16" s="13">
        <f>(SUM(AA12:AA13,AA18:AA20)-SUM(P12:P13,P18:P20))/(AA4-P4)</f>
        <v>8.4548760584349403E-2</v>
      </c>
      <c r="D16" s="8" t="s">
        <v>9</v>
      </c>
      <c r="H16" s="16" t="s">
        <v>65</v>
      </c>
      <c r="I16" s="16" t="s">
        <v>66</v>
      </c>
      <c r="J16" s="38">
        <v>16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33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0.61826036293601605</v>
      </c>
      <c r="D17" s="8" t="s">
        <v>9</v>
      </c>
      <c r="H17" s="16" t="s">
        <v>69</v>
      </c>
      <c r="I17" s="16" t="s">
        <v>70</v>
      </c>
      <c r="J17" s="32">
        <f>O4</f>
        <v>91000.03</v>
      </c>
      <c r="K17" s="27"/>
      <c r="L17" s="43"/>
      <c r="M17" s="40" t="s">
        <v>71</v>
      </c>
      <c r="N17" s="30">
        <v>2655.16</v>
      </c>
      <c r="O17" s="30">
        <v>255.05</v>
      </c>
      <c r="P17" s="36">
        <f t="shared" si="0"/>
        <v>2910.21</v>
      </c>
      <c r="S17" s="16" t="s">
        <v>69</v>
      </c>
      <c r="T17" s="16" t="s">
        <v>70</v>
      </c>
      <c r="U17" s="32">
        <f>Z4</f>
        <v>156773.01</v>
      </c>
      <c r="V17" s="27"/>
      <c r="W17" s="43"/>
      <c r="X17" s="40" t="s">
        <v>71</v>
      </c>
      <c r="Y17" s="30">
        <v>3337.79</v>
      </c>
      <c r="Z17" s="30">
        <v>370.39</v>
      </c>
      <c r="AA17" s="36">
        <f t="shared" si="1"/>
        <v>3708.18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f>J17/J16</f>
        <v>5687.5018749999999</v>
      </c>
      <c r="K18" s="27"/>
      <c r="L18" s="43"/>
      <c r="M18" s="40" t="s">
        <v>73</v>
      </c>
      <c r="N18" s="30">
        <v>17236</v>
      </c>
      <c r="O18" s="30">
        <v>2778</v>
      </c>
      <c r="P18" s="36">
        <f t="shared" si="0"/>
        <v>20014</v>
      </c>
      <c r="S18" s="16" t="s">
        <v>72</v>
      </c>
      <c r="T18" s="16" t="s">
        <v>20</v>
      </c>
      <c r="U18" s="32">
        <f>U17/U16</f>
        <v>4750.6972727272696</v>
      </c>
      <c r="V18" s="27"/>
      <c r="W18" s="43"/>
      <c r="X18" s="40" t="s">
        <v>73</v>
      </c>
      <c r="Y18" s="30">
        <v>21684</v>
      </c>
      <c r="Z18" s="30">
        <v>3890</v>
      </c>
      <c r="AA18" s="36">
        <f t="shared" si="1"/>
        <v>25574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55759</v>
      </c>
      <c r="K19" s="27"/>
      <c r="L19" s="43"/>
      <c r="M19" s="40" t="s">
        <v>75</v>
      </c>
      <c r="N19" s="30">
        <v>37884</v>
      </c>
      <c r="O19" s="30">
        <v>6290</v>
      </c>
      <c r="P19" s="36">
        <f t="shared" si="0"/>
        <v>44174</v>
      </c>
      <c r="S19" s="16" t="s">
        <v>74</v>
      </c>
      <c r="T19" s="16" t="s">
        <v>20</v>
      </c>
      <c r="U19" s="32">
        <f>(Z8+Z9+Z10+Z11+Z14+Z15)</f>
        <v>104054.5</v>
      </c>
      <c r="V19" s="27"/>
      <c r="W19" s="43"/>
      <c r="X19" s="40" t="s">
        <v>75</v>
      </c>
      <c r="Y19" s="30">
        <v>44915</v>
      </c>
      <c r="Z19" s="30">
        <v>10061</v>
      </c>
      <c r="AA19" s="36">
        <f t="shared" si="1"/>
        <v>54976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24604</v>
      </c>
      <c r="O20" s="30">
        <v>917</v>
      </c>
      <c r="P20" s="36">
        <f t="shared" si="0"/>
        <v>25521</v>
      </c>
      <c r="S20" s="16" t="s">
        <v>44</v>
      </c>
      <c r="T20" s="16"/>
      <c r="U20" s="32"/>
      <c r="V20" s="27"/>
      <c r="W20" s="43"/>
      <c r="X20" s="40" t="s">
        <v>76</v>
      </c>
      <c r="Y20" s="30">
        <v>35047</v>
      </c>
      <c r="Z20" s="30">
        <v>2258</v>
      </c>
      <c r="AA20" s="36">
        <f t="shared" si="1"/>
        <v>37305</v>
      </c>
    </row>
    <row r="21" spans="1:27" ht="26.1" customHeight="1">
      <c r="H21" s="16" t="s">
        <v>77</v>
      </c>
      <c r="I21" s="16" t="s">
        <v>20</v>
      </c>
      <c r="J21" s="32">
        <f>O12+O18+O19+O20</f>
        <v>13423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f>Z12+Z18+Z19+Z20</f>
        <v>21437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255.05</v>
      </c>
      <c r="K23" s="27"/>
      <c r="L23" s="43"/>
      <c r="M23" s="40" t="s">
        <v>80</v>
      </c>
      <c r="N23" s="30">
        <v>238.5</v>
      </c>
      <c r="O23" s="30">
        <v>0</v>
      </c>
      <c r="P23" s="36">
        <f t="shared" si="0"/>
        <v>238.5</v>
      </c>
      <c r="S23" s="16" t="s">
        <v>54</v>
      </c>
      <c r="T23" s="16" t="s">
        <v>20</v>
      </c>
      <c r="U23" s="32">
        <f>Z17</f>
        <v>370.39</v>
      </c>
      <c r="V23" s="27"/>
      <c r="W23" s="43"/>
      <c r="X23" s="40" t="s">
        <v>80</v>
      </c>
      <c r="Y23" s="30">
        <v>238.5</v>
      </c>
      <c r="Z23" s="30">
        <v>0</v>
      </c>
      <c r="AA23" s="36">
        <f t="shared" si="1"/>
        <v>238.5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f t="shared" si="0"/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1"/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7920.46</v>
      </c>
      <c r="K25" s="27"/>
      <c r="L25" s="43"/>
      <c r="M25" s="40" t="s">
        <v>82</v>
      </c>
      <c r="N25" s="30">
        <v>2010.6</v>
      </c>
      <c r="O25" s="30">
        <v>715.52</v>
      </c>
      <c r="P25" s="36">
        <f t="shared" si="0"/>
        <v>2726.12</v>
      </c>
      <c r="S25" s="16" t="s">
        <v>60</v>
      </c>
      <c r="T25" s="16" t="s">
        <v>20</v>
      </c>
      <c r="U25" s="32">
        <f>(Z5+Z6+Z7)</f>
        <v>12766.52</v>
      </c>
      <c r="V25" s="27"/>
      <c r="W25" s="43"/>
      <c r="X25" s="40" t="s">
        <v>82</v>
      </c>
      <c r="Y25" s="30">
        <v>2144.1799999999998</v>
      </c>
      <c r="Z25" s="30">
        <v>790.6</v>
      </c>
      <c r="AA25" s="36">
        <f t="shared" si="1"/>
        <v>2934.78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34.5</v>
      </c>
      <c r="O26" s="30">
        <v>0</v>
      </c>
      <c r="P26" s="36">
        <f t="shared" si="0"/>
        <v>34.5</v>
      </c>
      <c r="S26" s="22" t="s">
        <v>44</v>
      </c>
      <c r="T26" s="22"/>
      <c r="U26" s="42"/>
      <c r="V26" s="45"/>
      <c r="W26" s="46"/>
      <c r="X26" s="29" t="s">
        <v>83</v>
      </c>
      <c r="Y26" s="30">
        <v>63</v>
      </c>
      <c r="Z26" s="30">
        <v>0</v>
      </c>
      <c r="AA26" s="36">
        <f t="shared" si="1"/>
        <v>63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201820</v>
      </c>
      <c r="O27" s="30">
        <v>0</v>
      </c>
      <c r="P27" s="36">
        <f t="shared" si="0"/>
        <v>201820</v>
      </c>
      <c r="S27" s="22"/>
      <c r="T27" s="22"/>
      <c r="U27" s="42"/>
      <c r="V27" s="57"/>
      <c r="W27" s="58"/>
      <c r="X27" s="29" t="s">
        <v>84</v>
      </c>
      <c r="Y27" s="30">
        <v>405940</v>
      </c>
      <c r="Z27" s="30">
        <v>0</v>
      </c>
      <c r="AA27" s="36">
        <f t="shared" si="1"/>
        <v>405940</v>
      </c>
    </row>
    <row r="28" spans="1:27" ht="26.1" customHeight="1">
      <c r="H28" s="23" t="s">
        <v>85</v>
      </c>
      <c r="I28" s="23" t="s">
        <v>66</v>
      </c>
      <c r="J28" s="48">
        <v>22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>
        <v>22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8145</v>
      </c>
      <c r="N29" s="24"/>
      <c r="O29" s="24"/>
      <c r="P29" s="24"/>
      <c r="W29" s="49" t="s">
        <v>86</v>
      </c>
      <c r="X29" s="50">
        <v>12285</v>
      </c>
      <c r="Y29" s="24"/>
      <c r="Z29" s="24"/>
      <c r="AA29" s="24"/>
    </row>
    <row r="30" spans="1:27" ht="26.1" customHeight="1">
      <c r="L30" s="51" t="s">
        <v>87</v>
      </c>
      <c r="M30" s="50">
        <v>222</v>
      </c>
      <c r="N30" s="24"/>
      <c r="O30" s="24"/>
      <c r="P30" s="24"/>
      <c r="W30" s="51" t="s">
        <v>87</v>
      </c>
      <c r="X30" s="50">
        <v>890</v>
      </c>
      <c r="Y30" s="24"/>
      <c r="Z30" s="24"/>
      <c r="AA30" s="24"/>
    </row>
    <row r="31" spans="1:27" ht="24">
      <c r="L31" s="51" t="s">
        <v>88</v>
      </c>
      <c r="M31" s="50">
        <v>187</v>
      </c>
      <c r="N31" s="24"/>
      <c r="O31" s="24"/>
      <c r="P31" s="24"/>
      <c r="W31" s="51" t="s">
        <v>88</v>
      </c>
      <c r="X31" s="50">
        <v>570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F1" sqref="F1:AB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5" t="s">
        <v>0</v>
      </c>
      <c r="B1" s="65"/>
      <c r="C1" s="65"/>
      <c r="H1" s="66" t="s">
        <v>90</v>
      </c>
      <c r="I1" s="66"/>
      <c r="J1" s="66"/>
      <c r="K1" s="66"/>
      <c r="L1" s="66"/>
      <c r="M1" s="66"/>
      <c r="N1" s="66"/>
      <c r="O1" s="66"/>
      <c r="P1" s="24"/>
      <c r="S1" s="66" t="s">
        <v>89</v>
      </c>
      <c r="T1" s="66"/>
      <c r="U1" s="66"/>
      <c r="V1" s="66"/>
      <c r="W1" s="66"/>
      <c r="X1" s="66"/>
      <c r="Y1" s="67"/>
      <c r="Z1" s="67"/>
      <c r="AA1" s="24"/>
    </row>
    <row r="2" spans="1:27" ht="21.75" customHeight="1">
      <c r="A2" s="3" t="s">
        <v>3</v>
      </c>
      <c r="B2" s="4" t="s">
        <v>4</v>
      </c>
      <c r="C2" s="3" t="s">
        <v>91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2534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13</v>
      </c>
      <c r="D4" s="8" t="s">
        <v>9</v>
      </c>
      <c r="H4" s="16" t="s">
        <v>19</v>
      </c>
      <c r="I4" s="16" t="s">
        <v>20</v>
      </c>
      <c r="J4" s="32">
        <v>694051.48</v>
      </c>
      <c r="K4" s="27" t="s">
        <v>21</v>
      </c>
      <c r="L4" s="33">
        <v>0.54469999999999996</v>
      </c>
      <c r="M4" s="34" t="s">
        <v>22</v>
      </c>
      <c r="N4" s="35">
        <v>682546.57</v>
      </c>
      <c r="O4" s="35">
        <v>11504.91</v>
      </c>
      <c r="P4" s="36">
        <v>694051.48</v>
      </c>
      <c r="S4" s="16" t="s">
        <v>19</v>
      </c>
      <c r="T4" s="16" t="s">
        <v>20</v>
      </c>
      <c r="U4" s="32">
        <f>Y4+Z4</f>
        <v>1561625.19</v>
      </c>
      <c r="V4" s="27" t="s">
        <v>21</v>
      </c>
      <c r="W4" s="33">
        <f>ROUND((AA5+AA6)/(AA4-AA7),4)</f>
        <v>0.38890000000000002</v>
      </c>
      <c r="X4" s="34" t="s">
        <v>22</v>
      </c>
      <c r="Y4" s="35">
        <f>SUM(Y5:Y27)</f>
        <v>1470625.16</v>
      </c>
      <c r="Z4" s="35">
        <f>SUM(Z5:Z27)</f>
        <v>91000.03</v>
      </c>
      <c r="AA4" s="36">
        <f t="shared" ref="AA4:AA27" si="0">SUM(Y4:Z4)</f>
        <v>1561625.19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682546.57</v>
      </c>
      <c r="K5" s="27" t="s">
        <v>26</v>
      </c>
      <c r="L5" s="33">
        <v>2.1957593116867899E-3</v>
      </c>
      <c r="M5" s="37" t="s">
        <v>27</v>
      </c>
      <c r="N5" s="30">
        <v>308534.65999999997</v>
      </c>
      <c r="O5" s="30">
        <v>225.03</v>
      </c>
      <c r="P5" s="36">
        <v>308759.69</v>
      </c>
      <c r="S5" s="16" t="s">
        <v>25</v>
      </c>
      <c r="T5" s="16" t="s">
        <v>20</v>
      </c>
      <c r="U5" s="32">
        <f>Y4</f>
        <v>1470625.16</v>
      </c>
      <c r="V5" s="27" t="s">
        <v>26</v>
      </c>
      <c r="W5" s="33">
        <f>AA17/AA4</f>
        <v>1.8635777769440301E-3</v>
      </c>
      <c r="X5" s="37" t="s">
        <v>27</v>
      </c>
      <c r="Y5" s="30">
        <v>509178.89</v>
      </c>
      <c r="Z5" s="30">
        <v>2789.79</v>
      </c>
      <c r="AA5" s="36">
        <f t="shared" si="0"/>
        <v>511968.68</v>
      </c>
    </row>
    <row r="6" spans="1:27" ht="21.75" customHeight="1">
      <c r="A6" s="69"/>
      <c r="B6" s="6" t="s">
        <v>28</v>
      </c>
      <c r="C6" s="7">
        <f>X29-M29</f>
        <v>4095</v>
      </c>
      <c r="D6" s="8" t="s">
        <v>9</v>
      </c>
      <c r="H6" s="16" t="s">
        <v>29</v>
      </c>
      <c r="I6" s="16" t="s">
        <v>30</v>
      </c>
      <c r="J6" s="38">
        <v>2917</v>
      </c>
      <c r="K6" s="27" t="s">
        <v>31</v>
      </c>
      <c r="L6" s="39">
        <v>0.15476517678486901</v>
      </c>
      <c r="M6" s="40" t="s">
        <v>32</v>
      </c>
      <c r="N6" s="30">
        <v>1330.99</v>
      </c>
      <c r="O6" s="30">
        <v>0</v>
      </c>
      <c r="P6" s="36">
        <v>1330.99</v>
      </c>
      <c r="S6" s="16" t="s">
        <v>29</v>
      </c>
      <c r="T6" s="16" t="s">
        <v>30</v>
      </c>
      <c r="U6" s="38">
        <v>5451</v>
      </c>
      <c r="V6" s="27" t="s">
        <v>31</v>
      </c>
      <c r="W6" s="39">
        <f>(AA12+AA13+AA18+AA19+AA20)/AA4</f>
        <v>0.136341934904367</v>
      </c>
      <c r="X6" s="40" t="s">
        <v>32</v>
      </c>
      <c r="Y6" s="30">
        <v>1476.69</v>
      </c>
      <c r="Z6" s="30">
        <v>0</v>
      </c>
      <c r="AA6" s="36">
        <f t="shared" si="0"/>
        <v>1476.69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233.989225231402</v>
      </c>
      <c r="K7" s="27" t="s">
        <v>36</v>
      </c>
      <c r="L7" s="41">
        <v>0.21650340692307099</v>
      </c>
      <c r="M7" s="40" t="s">
        <v>37</v>
      </c>
      <c r="N7" s="30">
        <v>123893.16</v>
      </c>
      <c r="O7" s="30">
        <v>864.16</v>
      </c>
      <c r="P7" s="36">
        <v>124757.32</v>
      </c>
      <c r="S7" s="16" t="s">
        <v>35</v>
      </c>
      <c r="T7" s="16" t="s">
        <v>20</v>
      </c>
      <c r="U7" s="32">
        <f>U5/U6</f>
        <v>269.78997615116498</v>
      </c>
      <c r="V7" s="27" t="s">
        <v>36</v>
      </c>
      <c r="W7" s="41">
        <f>(AA4-AA5-AA6-AA7-AA17-AA12-AA13-AA18-AA19-AA20)/AA4</f>
        <v>0.37838856838624602</v>
      </c>
      <c r="X7" s="40" t="s">
        <v>37</v>
      </c>
      <c r="Y7" s="30">
        <v>236322.82</v>
      </c>
      <c r="Z7" s="30">
        <v>5130.67</v>
      </c>
      <c r="AA7" s="36">
        <f t="shared" si="0"/>
        <v>241453.49</v>
      </c>
    </row>
    <row r="8" spans="1:27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141064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f>Y8+Y10+Y11+Y14+Y15+Y26</f>
        <v>330019.5</v>
      </c>
      <c r="V8" s="27"/>
      <c r="W8" s="43"/>
      <c r="X8" s="40" t="s">
        <v>41</v>
      </c>
      <c r="Y8" s="30">
        <v>0</v>
      </c>
      <c r="Z8" s="30">
        <v>0</v>
      </c>
      <c r="AA8" s="36">
        <f t="shared" si="0"/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12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676</v>
      </c>
      <c r="P9" s="36">
        <v>676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5772</v>
      </c>
      <c r="AA9" s="36">
        <f t="shared" si="0"/>
        <v>5772</v>
      </c>
    </row>
    <row r="10" spans="1:27" ht="21.75" customHeight="1">
      <c r="A10" s="10" t="s">
        <v>46</v>
      </c>
      <c r="B10" s="6" t="s">
        <v>47</v>
      </c>
      <c r="C10" s="11">
        <v>27.89</v>
      </c>
      <c r="D10" s="8" t="s">
        <v>9</v>
      </c>
      <c r="H10" s="16" t="s">
        <v>48</v>
      </c>
      <c r="I10" s="16" t="s">
        <v>20</v>
      </c>
      <c r="J10" s="32">
        <v>61640</v>
      </c>
      <c r="K10" s="27"/>
      <c r="L10" s="43"/>
      <c r="M10" s="40" t="s">
        <v>49</v>
      </c>
      <c r="N10" s="30">
        <v>38269</v>
      </c>
      <c r="O10" s="30">
        <v>502</v>
      </c>
      <c r="P10" s="36">
        <v>38771</v>
      </c>
      <c r="S10" s="16" t="s">
        <v>48</v>
      </c>
      <c r="T10" s="16" t="s">
        <v>20</v>
      </c>
      <c r="U10" s="32">
        <f>Y12+Y18+Y19+Y20</f>
        <v>108889</v>
      </c>
      <c r="V10" s="27"/>
      <c r="W10" s="43"/>
      <c r="X10" s="40" t="s">
        <v>49</v>
      </c>
      <c r="Y10" s="30">
        <v>76611</v>
      </c>
      <c r="Z10" s="30">
        <v>3929</v>
      </c>
      <c r="AA10" s="36">
        <f t="shared" si="0"/>
        <v>80540</v>
      </c>
    </row>
    <row r="11" spans="1:27" ht="21.75" customHeight="1">
      <c r="A11" s="68" t="s">
        <v>50</v>
      </c>
      <c r="B11" s="6" t="s">
        <v>51</v>
      </c>
      <c r="C11" s="12">
        <f>(Y4-N4)/C3</f>
        <v>311.00181136543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493</v>
      </c>
      <c r="P11" s="36">
        <v>493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4159</v>
      </c>
      <c r="AA11" s="36">
        <f t="shared" si="0"/>
        <v>4159</v>
      </c>
    </row>
    <row r="12" spans="1:27" ht="21.75" customHeight="1">
      <c r="A12" s="70"/>
      <c r="B12" s="6" t="s">
        <v>53</v>
      </c>
      <c r="C12" s="12">
        <f>(Z4-O4)/C4</f>
        <v>6115.0092307692303</v>
      </c>
      <c r="D12" s="8" t="s">
        <v>9</v>
      </c>
      <c r="H12" s="16" t="s">
        <v>54</v>
      </c>
      <c r="I12" s="16" t="s">
        <v>20</v>
      </c>
      <c r="J12" s="32">
        <v>1504.47</v>
      </c>
      <c r="K12" s="27"/>
      <c r="L12" s="43"/>
      <c r="M12" s="40" t="s">
        <v>55</v>
      </c>
      <c r="N12" s="30">
        <v>16314</v>
      </c>
      <c r="O12" s="30">
        <v>554</v>
      </c>
      <c r="P12" s="36">
        <v>16868</v>
      </c>
      <c r="S12" s="16" t="s">
        <v>54</v>
      </c>
      <c r="T12" s="16" t="s">
        <v>20</v>
      </c>
      <c r="U12" s="32">
        <f>Y17</f>
        <v>2655.16</v>
      </c>
      <c r="V12" s="27"/>
      <c r="W12" s="43"/>
      <c r="X12" s="40" t="s">
        <v>55</v>
      </c>
      <c r="Y12" s="30">
        <v>29165</v>
      </c>
      <c r="Z12" s="30">
        <v>3438</v>
      </c>
      <c r="AA12" s="36">
        <f t="shared" si="0"/>
        <v>32603</v>
      </c>
    </row>
    <row r="13" spans="1:27" ht="21.75" customHeight="1">
      <c r="A13" s="68" t="s">
        <v>56</v>
      </c>
      <c r="B13" s="6" t="s">
        <v>57</v>
      </c>
      <c r="C13" s="13">
        <f>(SUM(AA5:AA6)-SUM(P5:P6))/(AA4-AA7-(P4-P7))</f>
        <v>0.270822709652495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42802</v>
      </c>
      <c r="O13" s="30">
        <v>1145</v>
      </c>
      <c r="P13" s="36">
        <v>43947</v>
      </c>
      <c r="S13" s="16" t="s">
        <v>44</v>
      </c>
      <c r="T13" s="16"/>
      <c r="U13" s="32"/>
      <c r="V13" s="27"/>
      <c r="W13" s="43"/>
      <c r="X13" s="40" t="s">
        <v>58</v>
      </c>
      <c r="Y13" s="30">
        <v>77676</v>
      </c>
      <c r="Z13" s="30">
        <v>12927</v>
      </c>
      <c r="AA13" s="36">
        <f t="shared" si="0"/>
        <v>90603</v>
      </c>
    </row>
    <row r="14" spans="1:27" ht="21.75" customHeight="1">
      <c r="A14" s="69"/>
      <c r="B14" s="6" t="s">
        <v>59</v>
      </c>
      <c r="C14" s="13">
        <f>(AA7-P7)/(AA4-P4)</f>
        <v>0.13450865172020901</v>
      </c>
      <c r="D14" s="8" t="s">
        <v>9</v>
      </c>
      <c r="H14" s="16" t="s">
        <v>60</v>
      </c>
      <c r="I14" s="16" t="s">
        <v>20</v>
      </c>
      <c r="J14" s="32">
        <v>433758.81</v>
      </c>
      <c r="K14" s="27"/>
      <c r="L14" s="43"/>
      <c r="M14" s="40" t="s">
        <v>61</v>
      </c>
      <c r="N14" s="30">
        <v>102626</v>
      </c>
      <c r="O14" s="30">
        <v>5661.5</v>
      </c>
      <c r="P14" s="36">
        <v>108287.5</v>
      </c>
      <c r="S14" s="16" t="s">
        <v>60</v>
      </c>
      <c r="T14" s="16" t="s">
        <v>20</v>
      </c>
      <c r="U14" s="32">
        <f>Y5+Y6+Y7</f>
        <v>746978.4</v>
      </c>
      <c r="V14" s="27"/>
      <c r="W14" s="43"/>
      <c r="X14" s="40" t="s">
        <v>61</v>
      </c>
      <c r="Y14" s="30">
        <v>253205</v>
      </c>
      <c r="Z14" s="30">
        <v>41899</v>
      </c>
      <c r="AA14" s="36">
        <f t="shared" si="0"/>
        <v>295104</v>
      </c>
    </row>
    <row r="15" spans="1:27" ht="21.75" customHeight="1">
      <c r="A15" s="69"/>
      <c r="B15" s="6" t="s">
        <v>62</v>
      </c>
      <c r="C15" s="13">
        <f>(AA17-P17)/(AA4-P4)</f>
        <v>1.59783541619766E-3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169</v>
      </c>
      <c r="Z15" s="30">
        <v>0</v>
      </c>
      <c r="AA15" s="36">
        <f t="shared" si="0"/>
        <v>169</v>
      </c>
    </row>
    <row r="16" spans="1:27" ht="21.75" customHeight="1">
      <c r="A16" s="69"/>
      <c r="B16" s="6" t="s">
        <v>64</v>
      </c>
      <c r="C16" s="13">
        <f>(SUM(AA12:AA13,AA18:AA20)-SUM(P12:P13,P18:P20))/(AA4-P4)</f>
        <v>0.121603500410357</v>
      </c>
      <c r="D16" s="8" t="s">
        <v>9</v>
      </c>
      <c r="H16" s="16" t="s">
        <v>65</v>
      </c>
      <c r="I16" s="16" t="s">
        <v>66</v>
      </c>
      <c r="J16" s="38">
        <v>3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16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0"/>
        <v>0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0.50789530033131103</v>
      </c>
      <c r="D17" s="8" t="s">
        <v>9</v>
      </c>
      <c r="H17" s="16" t="s">
        <v>69</v>
      </c>
      <c r="I17" s="16" t="s">
        <v>70</v>
      </c>
      <c r="J17" s="32">
        <v>11504.91</v>
      </c>
      <c r="K17" s="27"/>
      <c r="L17" s="43"/>
      <c r="M17" s="40" t="s">
        <v>71</v>
      </c>
      <c r="N17" s="30">
        <v>1504.47</v>
      </c>
      <c r="O17" s="30">
        <v>19.5</v>
      </c>
      <c r="P17" s="36">
        <v>1523.97</v>
      </c>
      <c r="S17" s="16" t="s">
        <v>69</v>
      </c>
      <c r="T17" s="16" t="s">
        <v>70</v>
      </c>
      <c r="U17" s="32">
        <f>Z4</f>
        <v>91000.03</v>
      </c>
      <c r="V17" s="27"/>
      <c r="W17" s="43"/>
      <c r="X17" s="40" t="s">
        <v>71</v>
      </c>
      <c r="Y17" s="30">
        <v>2655.16</v>
      </c>
      <c r="Z17" s="30">
        <v>255.05</v>
      </c>
      <c r="AA17" s="36">
        <f t="shared" si="0"/>
        <v>2910.21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3834.97</v>
      </c>
      <c r="K18" s="27"/>
      <c r="L18" s="43"/>
      <c r="M18" s="40" t="s">
        <v>73</v>
      </c>
      <c r="N18" s="30">
        <v>12232</v>
      </c>
      <c r="O18" s="30">
        <v>0</v>
      </c>
      <c r="P18" s="36">
        <v>12232</v>
      </c>
      <c r="S18" s="16" t="s">
        <v>72</v>
      </c>
      <c r="T18" s="16" t="s">
        <v>20</v>
      </c>
      <c r="U18" s="32">
        <f>U17/U16</f>
        <v>5687.5018749999999</v>
      </c>
      <c r="V18" s="27"/>
      <c r="W18" s="43"/>
      <c r="X18" s="40" t="s">
        <v>73</v>
      </c>
      <c r="Y18" s="30">
        <v>17236</v>
      </c>
      <c r="Z18" s="30">
        <v>2778</v>
      </c>
      <c r="AA18" s="36">
        <f t="shared" si="0"/>
        <v>20014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7332.5</v>
      </c>
      <c r="K19" s="27"/>
      <c r="L19" s="43"/>
      <c r="M19" s="40" t="s">
        <v>75</v>
      </c>
      <c r="N19" s="30">
        <v>22679</v>
      </c>
      <c r="O19" s="30">
        <v>1110</v>
      </c>
      <c r="P19" s="36">
        <v>23789</v>
      </c>
      <c r="S19" s="16" t="s">
        <v>74</v>
      </c>
      <c r="T19" s="16" t="s">
        <v>20</v>
      </c>
      <c r="U19" s="32">
        <f>(Z8+Z9+Z10+Z11+Z14+Z15)</f>
        <v>55759</v>
      </c>
      <c r="V19" s="27"/>
      <c r="W19" s="43"/>
      <c r="X19" s="40" t="s">
        <v>75</v>
      </c>
      <c r="Y19" s="30">
        <v>37884</v>
      </c>
      <c r="Z19" s="30">
        <v>6290</v>
      </c>
      <c r="AA19" s="36">
        <f t="shared" si="0"/>
        <v>44174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10415</v>
      </c>
      <c r="O20" s="30">
        <v>164</v>
      </c>
      <c r="P20" s="36">
        <v>10579</v>
      </c>
      <c r="S20" s="16" t="s">
        <v>44</v>
      </c>
      <c r="T20" s="16"/>
      <c r="U20" s="32"/>
      <c r="V20" s="27"/>
      <c r="W20" s="43"/>
      <c r="X20" s="40" t="s">
        <v>76</v>
      </c>
      <c r="Y20" s="30">
        <v>24604</v>
      </c>
      <c r="Z20" s="30">
        <v>917</v>
      </c>
      <c r="AA20" s="36">
        <f t="shared" si="0"/>
        <v>25521</v>
      </c>
    </row>
    <row r="21" spans="1:27" ht="26.1" customHeight="1">
      <c r="H21" s="16" t="s">
        <v>77</v>
      </c>
      <c r="I21" s="16" t="s">
        <v>20</v>
      </c>
      <c r="J21" s="32">
        <v>1828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f>Z12+Z18+Z19+Z20</f>
        <v>13423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0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0"/>
        <v>0</v>
      </c>
    </row>
    <row r="23" spans="1:27" ht="26.1" customHeight="1">
      <c r="H23" s="16" t="s">
        <v>54</v>
      </c>
      <c r="I23" s="16" t="s">
        <v>20</v>
      </c>
      <c r="J23" s="32"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v>0</v>
      </c>
      <c r="S23" s="16" t="s">
        <v>54</v>
      </c>
      <c r="T23" s="16" t="s">
        <v>20</v>
      </c>
      <c r="U23" s="32">
        <f>Z17</f>
        <v>255.05</v>
      </c>
      <c r="V23" s="27"/>
      <c r="W23" s="43"/>
      <c r="X23" s="40" t="s">
        <v>80</v>
      </c>
      <c r="Y23" s="30">
        <v>238.5</v>
      </c>
      <c r="Z23" s="30">
        <v>0</v>
      </c>
      <c r="AA23" s="36">
        <f t="shared" si="0"/>
        <v>238.5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0"/>
        <v>338</v>
      </c>
    </row>
    <row r="25" spans="1:27" ht="26.1" customHeight="1">
      <c r="H25" s="16" t="s">
        <v>60</v>
      </c>
      <c r="I25" s="16" t="s">
        <v>20</v>
      </c>
      <c r="J25" s="32">
        <v>1089.19</v>
      </c>
      <c r="K25" s="27"/>
      <c r="L25" s="43"/>
      <c r="M25" s="40" t="s">
        <v>82</v>
      </c>
      <c r="N25" s="30">
        <v>1439.29</v>
      </c>
      <c r="O25" s="30">
        <v>90.72</v>
      </c>
      <c r="P25" s="36">
        <v>1530.01</v>
      </c>
      <c r="S25" s="16" t="s">
        <v>60</v>
      </c>
      <c r="T25" s="16" t="s">
        <v>20</v>
      </c>
      <c r="U25" s="32">
        <f>(Z5+Z6+Z7)</f>
        <v>7920.46</v>
      </c>
      <c r="V25" s="27"/>
      <c r="W25" s="43"/>
      <c r="X25" s="40" t="s">
        <v>82</v>
      </c>
      <c r="Y25" s="30">
        <v>2010.6</v>
      </c>
      <c r="Z25" s="30">
        <v>715.52</v>
      </c>
      <c r="AA25" s="36">
        <f t="shared" si="0"/>
        <v>2726.12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47"/>
      <c r="S26" s="22" t="s">
        <v>44</v>
      </c>
      <c r="T26" s="22"/>
      <c r="U26" s="42"/>
      <c r="V26" s="45"/>
      <c r="W26" s="46"/>
      <c r="X26" s="29" t="s">
        <v>83</v>
      </c>
      <c r="Y26" s="30">
        <v>34.5</v>
      </c>
      <c r="Z26" s="30">
        <v>0</v>
      </c>
      <c r="AA26" s="36">
        <f t="shared" si="0"/>
        <v>34.5</v>
      </c>
    </row>
    <row r="27" spans="1:27" ht="26.1" customHeight="1">
      <c r="H27" s="23" t="s">
        <v>85</v>
      </c>
      <c r="I27" s="23" t="s">
        <v>66</v>
      </c>
      <c r="J27" s="48">
        <v>3</v>
      </c>
      <c r="L27" s="25"/>
      <c r="M27" s="29" t="s">
        <v>84</v>
      </c>
      <c r="N27" s="47">
        <v>63300</v>
      </c>
      <c r="O27" s="47">
        <v>0</v>
      </c>
      <c r="P27" s="47"/>
      <c r="S27" s="22"/>
      <c r="T27" s="22"/>
      <c r="U27" s="42"/>
      <c r="V27" s="57"/>
      <c r="W27" s="58"/>
      <c r="X27" s="29" t="s">
        <v>84</v>
      </c>
      <c r="Y27" s="30">
        <v>201820</v>
      </c>
      <c r="Z27" s="30">
        <v>0</v>
      </c>
      <c r="AA27" s="36">
        <f t="shared" si="0"/>
        <v>201820</v>
      </c>
    </row>
    <row r="28" spans="1:27" ht="26.1" customHeight="1">
      <c r="L28" s="55"/>
      <c r="M28" s="56"/>
      <c r="N28" s="24"/>
      <c r="O28" s="24"/>
      <c r="P28" s="24"/>
      <c r="S28" s="23" t="s">
        <v>85</v>
      </c>
      <c r="T28" s="23" t="s">
        <v>66</v>
      </c>
      <c r="U28" s="48">
        <v>22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4050</v>
      </c>
      <c r="N29" s="24"/>
      <c r="O29" s="24"/>
      <c r="P29" s="24"/>
      <c r="W29" s="49" t="s">
        <v>86</v>
      </c>
      <c r="X29" s="50">
        <v>8145</v>
      </c>
      <c r="Y29" s="24"/>
      <c r="Z29" s="24"/>
      <c r="AA29" s="24"/>
    </row>
    <row r="30" spans="1:27" ht="26.1" customHeight="1">
      <c r="L30" s="51" t="s">
        <v>87</v>
      </c>
      <c r="M30" s="50">
        <v>26</v>
      </c>
      <c r="N30" s="24"/>
      <c r="O30" s="24"/>
      <c r="P30" s="24"/>
      <c r="W30" s="51" t="s">
        <v>87</v>
      </c>
      <c r="X30" s="50">
        <v>222</v>
      </c>
      <c r="Y30" s="24"/>
      <c r="Z30" s="24"/>
      <c r="AA30" s="24"/>
    </row>
    <row r="31" spans="1:27" ht="24">
      <c r="L31" s="51" t="s">
        <v>88</v>
      </c>
      <c r="M31" s="50">
        <v>26</v>
      </c>
      <c r="W31" s="51" t="s">
        <v>88</v>
      </c>
      <c r="X31" s="50">
        <v>187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topLeftCell="B1" workbookViewId="0">
      <selection activeCell="H1" sqref="H1:P30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</cols>
  <sheetData>
    <row r="1" spans="1:16" ht="22.5">
      <c r="A1" s="65" t="s">
        <v>0</v>
      </c>
      <c r="B1" s="65"/>
      <c r="C1" s="65"/>
      <c r="H1" s="66" t="s">
        <v>90</v>
      </c>
      <c r="I1" s="66"/>
      <c r="J1" s="66"/>
      <c r="K1" s="66"/>
      <c r="L1" s="66"/>
      <c r="M1" s="66"/>
      <c r="N1" s="66"/>
      <c r="O1" s="66"/>
      <c r="P1" s="24"/>
    </row>
    <row r="2" spans="1:16" ht="21.75" customHeight="1">
      <c r="A2" s="3" t="s">
        <v>3</v>
      </c>
      <c r="B2" s="4" t="s">
        <v>4</v>
      </c>
      <c r="C2" s="3" t="s">
        <v>92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68" t="s">
        <v>7</v>
      </c>
      <c r="B3" s="6" t="s">
        <v>8</v>
      </c>
      <c r="C3" s="7">
        <f>J6</f>
        <v>2917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69"/>
      <c r="B4" s="6" t="s">
        <v>18</v>
      </c>
      <c r="C4" s="7">
        <f>J16</f>
        <v>3</v>
      </c>
      <c r="D4" s="8" t="s">
        <v>9</v>
      </c>
      <c r="H4" s="16" t="s">
        <v>19</v>
      </c>
      <c r="I4" s="16" t="s">
        <v>20</v>
      </c>
      <c r="J4" s="32">
        <v>694051.48</v>
      </c>
      <c r="K4" s="27" t="s">
        <v>21</v>
      </c>
      <c r="L4" s="33">
        <v>0.54469999999999996</v>
      </c>
      <c r="M4" s="34" t="s">
        <v>22</v>
      </c>
      <c r="N4" s="35">
        <v>682546.57</v>
      </c>
      <c r="O4" s="35">
        <v>11504.91</v>
      </c>
      <c r="P4" s="36">
        <v>694051.48</v>
      </c>
    </row>
    <row r="5" spans="1:16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682546.57</v>
      </c>
      <c r="K5" s="27" t="s">
        <v>26</v>
      </c>
      <c r="L5" s="33">
        <v>2.1957593116867899E-3</v>
      </c>
      <c r="M5" s="37" t="s">
        <v>27</v>
      </c>
      <c r="N5" s="30">
        <v>308534.65999999997</v>
      </c>
      <c r="O5" s="30">
        <v>225.03</v>
      </c>
      <c r="P5" s="36">
        <v>308759.69</v>
      </c>
    </row>
    <row r="6" spans="1:16" ht="21.75" customHeight="1">
      <c r="A6" s="69"/>
      <c r="B6" s="6" t="s">
        <v>28</v>
      </c>
      <c r="C6" s="7">
        <f>M28</f>
        <v>4050</v>
      </c>
      <c r="D6" s="8" t="s">
        <v>9</v>
      </c>
      <c r="H6" s="16" t="s">
        <v>29</v>
      </c>
      <c r="I6" s="16" t="s">
        <v>30</v>
      </c>
      <c r="J6" s="38">
        <v>2917</v>
      </c>
      <c r="K6" s="27" t="s">
        <v>31</v>
      </c>
      <c r="L6" s="39">
        <v>0.15476517678486901</v>
      </c>
      <c r="M6" s="40" t="s">
        <v>32</v>
      </c>
      <c r="N6" s="30">
        <v>1330.99</v>
      </c>
      <c r="O6" s="30">
        <v>0</v>
      </c>
      <c r="P6" s="36">
        <v>1330.99</v>
      </c>
    </row>
    <row r="7" spans="1:16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233.989225231402</v>
      </c>
      <c r="K7" s="27" t="s">
        <v>36</v>
      </c>
      <c r="L7" s="41">
        <v>0.21650340692307099</v>
      </c>
      <c r="M7" s="40" t="s">
        <v>37</v>
      </c>
      <c r="N7" s="30">
        <v>123893.16</v>
      </c>
      <c r="O7" s="30">
        <v>864.16</v>
      </c>
      <c r="P7" s="36">
        <v>124757.32</v>
      </c>
    </row>
    <row r="8" spans="1:16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141064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</row>
    <row r="9" spans="1:16" ht="21.75" customHeight="1">
      <c r="A9" s="10" t="s">
        <v>42</v>
      </c>
      <c r="B9" s="6" t="s">
        <v>43</v>
      </c>
      <c r="C9" s="11">
        <f>M30/J16</f>
        <v>8.6666666666666696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676</v>
      </c>
      <c r="P9" s="36">
        <v>676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v>61640</v>
      </c>
      <c r="K10" s="27"/>
      <c r="L10" s="43"/>
      <c r="M10" s="40" t="s">
        <v>49</v>
      </c>
      <c r="N10" s="30">
        <v>38269</v>
      </c>
      <c r="O10" s="30">
        <v>502</v>
      </c>
      <c r="P10" s="36">
        <v>38771</v>
      </c>
    </row>
    <row r="11" spans="1:16" ht="21.75" customHeight="1">
      <c r="A11" s="68" t="s">
        <v>50</v>
      </c>
      <c r="B11" s="6" t="s">
        <v>51</v>
      </c>
      <c r="C11" s="12">
        <f>J7</f>
        <v>233.989225231402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493</v>
      </c>
      <c r="P11" s="36">
        <v>493</v>
      </c>
    </row>
    <row r="12" spans="1:16" ht="21.75" customHeight="1">
      <c r="A12" s="70"/>
      <c r="B12" s="6" t="s">
        <v>53</v>
      </c>
      <c r="C12" s="12">
        <f>J18</f>
        <v>3834.97</v>
      </c>
      <c r="D12" s="8" t="s">
        <v>9</v>
      </c>
      <c r="H12" s="16" t="s">
        <v>54</v>
      </c>
      <c r="I12" s="16" t="s">
        <v>20</v>
      </c>
      <c r="J12" s="32">
        <v>1504.47</v>
      </c>
      <c r="K12" s="27"/>
      <c r="L12" s="43"/>
      <c r="M12" s="40" t="s">
        <v>55</v>
      </c>
      <c r="N12" s="30">
        <v>16314</v>
      </c>
      <c r="O12" s="30">
        <v>554</v>
      </c>
      <c r="P12" s="36">
        <v>16868</v>
      </c>
    </row>
    <row r="13" spans="1:16" ht="21.75" customHeight="1">
      <c r="A13" s="71" t="s">
        <v>56</v>
      </c>
      <c r="B13" s="6" t="s">
        <v>93</v>
      </c>
      <c r="C13" s="13">
        <f>L4</f>
        <v>0.54469999999999996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42802</v>
      </c>
      <c r="O13" s="30">
        <v>1145</v>
      </c>
      <c r="P13" s="36">
        <v>43947</v>
      </c>
    </row>
    <row r="14" spans="1:16" ht="21.75" customHeight="1">
      <c r="A14" s="71"/>
      <c r="B14" s="6" t="s">
        <v>59</v>
      </c>
      <c r="C14" s="13">
        <f>P7/P4</f>
        <v>0.179752256993962</v>
      </c>
      <c r="D14" s="8" t="s">
        <v>9</v>
      </c>
      <c r="H14" s="16" t="s">
        <v>60</v>
      </c>
      <c r="I14" s="16" t="s">
        <v>20</v>
      </c>
      <c r="J14" s="32">
        <v>433758.81</v>
      </c>
      <c r="K14" s="27"/>
      <c r="L14" s="43"/>
      <c r="M14" s="40" t="s">
        <v>61</v>
      </c>
      <c r="N14" s="30">
        <v>102626</v>
      </c>
      <c r="O14" s="30">
        <v>5661.5</v>
      </c>
      <c r="P14" s="36">
        <v>108287.5</v>
      </c>
    </row>
    <row r="15" spans="1:16" ht="21.75" customHeight="1">
      <c r="A15" s="71"/>
      <c r="B15" s="6" t="s">
        <v>62</v>
      </c>
      <c r="C15" s="13">
        <f>P17/P4</f>
        <v>2.1957593116867899E-3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v>169</v>
      </c>
    </row>
    <row r="16" spans="1:16" ht="21.75" customHeight="1">
      <c r="A16" s="71"/>
      <c r="B16" s="6" t="s">
        <v>64</v>
      </c>
      <c r="C16" s="13">
        <f>L6</f>
        <v>0.15476517678486901</v>
      </c>
      <c r="D16" s="8" t="s">
        <v>9</v>
      </c>
      <c r="H16" s="16" t="s">
        <v>65</v>
      </c>
      <c r="I16" s="16" t="s">
        <v>66</v>
      </c>
      <c r="J16" s="38">
        <v>3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</row>
    <row r="17" spans="1:16" ht="21.75" customHeight="1">
      <c r="A17" s="71"/>
      <c r="B17" s="6" t="s">
        <v>68</v>
      </c>
      <c r="C17" s="13">
        <f>L7</f>
        <v>0.21650340692307099</v>
      </c>
      <c r="D17" s="8" t="s">
        <v>9</v>
      </c>
      <c r="H17" s="16" t="s">
        <v>69</v>
      </c>
      <c r="I17" s="16" t="s">
        <v>70</v>
      </c>
      <c r="J17" s="32">
        <v>11504.91</v>
      </c>
      <c r="K17" s="27"/>
      <c r="L17" s="43"/>
      <c r="M17" s="40" t="s">
        <v>71</v>
      </c>
      <c r="N17" s="30">
        <v>1504.47</v>
      </c>
      <c r="O17" s="30">
        <v>19.5</v>
      </c>
      <c r="P17" s="36">
        <v>1523.97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>
        <v>3834.97</v>
      </c>
      <c r="K18" s="27"/>
      <c r="L18" s="43"/>
      <c r="M18" s="40" t="s">
        <v>73</v>
      </c>
      <c r="N18" s="30">
        <v>12232</v>
      </c>
      <c r="O18" s="30">
        <v>0</v>
      </c>
      <c r="P18" s="36">
        <v>12232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v>7332.5</v>
      </c>
      <c r="K19" s="27"/>
      <c r="L19" s="43"/>
      <c r="M19" s="40" t="s">
        <v>75</v>
      </c>
      <c r="N19" s="30">
        <v>22679</v>
      </c>
      <c r="O19" s="30">
        <v>1110</v>
      </c>
      <c r="P19" s="36">
        <v>23789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10415</v>
      </c>
      <c r="O20" s="30">
        <v>164</v>
      </c>
      <c r="P20" s="36">
        <v>10579</v>
      </c>
    </row>
    <row r="21" spans="1:16" ht="26.1" customHeight="1">
      <c r="H21" s="16" t="s">
        <v>77</v>
      </c>
      <c r="I21" s="16" t="s">
        <v>20</v>
      </c>
      <c r="J21" s="32">
        <v>1828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</row>
    <row r="23" spans="1:16" ht="26.1" customHeight="1">
      <c r="H23" s="16" t="s">
        <v>54</v>
      </c>
      <c r="I23" s="16" t="s">
        <v>20</v>
      </c>
      <c r="J23" s="32"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v>0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v>338</v>
      </c>
    </row>
    <row r="25" spans="1:16" ht="26.1" customHeight="1">
      <c r="H25" s="16" t="s">
        <v>60</v>
      </c>
      <c r="I25" s="16" t="s">
        <v>20</v>
      </c>
      <c r="J25" s="32">
        <v>1089.19</v>
      </c>
      <c r="K25" s="27"/>
      <c r="L25" s="43"/>
      <c r="M25" s="40" t="s">
        <v>82</v>
      </c>
      <c r="N25" s="30">
        <v>1439.29</v>
      </c>
      <c r="O25" s="30">
        <v>90.72</v>
      </c>
      <c r="P25" s="36">
        <v>1530.01</v>
      </c>
    </row>
    <row r="26" spans="1:16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</row>
    <row r="27" spans="1:16" ht="26.1" customHeight="1">
      <c r="H27" s="23" t="s">
        <v>85</v>
      </c>
      <c r="I27" s="23" t="s">
        <v>66</v>
      </c>
      <c r="J27" s="48">
        <v>3</v>
      </c>
      <c r="L27" s="25"/>
      <c r="M27" s="26"/>
      <c r="N27" s="24"/>
      <c r="O27" s="24"/>
      <c r="P27" s="24"/>
    </row>
    <row r="28" spans="1:16" ht="26.1" customHeight="1">
      <c r="L28" s="49" t="s">
        <v>86</v>
      </c>
      <c r="M28" s="50">
        <v>4050</v>
      </c>
      <c r="N28" s="24"/>
      <c r="O28" s="24"/>
      <c r="P28" s="24"/>
    </row>
    <row r="29" spans="1:16" ht="26.1" customHeight="1">
      <c r="L29" s="51" t="s">
        <v>87</v>
      </c>
      <c r="M29" s="50">
        <v>26</v>
      </c>
      <c r="N29" s="24"/>
      <c r="O29" s="24"/>
      <c r="P29" s="24"/>
    </row>
    <row r="30" spans="1:16" ht="26.1" customHeight="1">
      <c r="L30" s="51" t="s">
        <v>88</v>
      </c>
      <c r="M30" s="50">
        <v>26</v>
      </c>
      <c r="N30" s="24"/>
      <c r="O30" s="24"/>
      <c r="P30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sqref="A1:XFD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5" t="s">
        <v>0</v>
      </c>
      <c r="B1" s="65"/>
      <c r="C1" s="65"/>
      <c r="H1" s="66" t="s">
        <v>94</v>
      </c>
      <c r="I1" s="66"/>
      <c r="J1" s="66"/>
      <c r="K1" s="66"/>
      <c r="L1" s="66"/>
      <c r="M1" s="66"/>
      <c r="N1" s="66"/>
      <c r="O1" s="66"/>
      <c r="P1" s="24"/>
      <c r="S1" s="66" t="s">
        <v>95</v>
      </c>
      <c r="T1" s="66"/>
      <c r="U1" s="66"/>
      <c r="V1" s="66"/>
      <c r="W1" s="66"/>
      <c r="X1" s="66"/>
      <c r="Y1" s="66"/>
      <c r="Z1" s="66"/>
      <c r="AA1" s="24"/>
    </row>
    <row r="2" spans="1:27" ht="21.75" customHeight="1">
      <c r="A2" s="3" t="s">
        <v>3</v>
      </c>
      <c r="B2" s="4" t="s">
        <v>4</v>
      </c>
      <c r="C2" s="3" t="s">
        <v>96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1886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29</v>
      </c>
      <c r="D4" s="8" t="s">
        <v>9</v>
      </c>
      <c r="H4" s="16" t="s">
        <v>19</v>
      </c>
      <c r="I4" s="16" t="s">
        <v>20</v>
      </c>
      <c r="J4" s="32">
        <v>857404.43</v>
      </c>
      <c r="K4" s="27" t="s">
        <v>21</v>
      </c>
      <c r="L4" s="33">
        <v>0.4</v>
      </c>
      <c r="M4" s="34" t="s">
        <v>22</v>
      </c>
      <c r="N4" s="35">
        <v>814182.42</v>
      </c>
      <c r="O4" s="35">
        <v>43222.01</v>
      </c>
      <c r="P4" s="36">
        <v>857404.43</v>
      </c>
      <c r="S4" s="16" t="s">
        <v>19</v>
      </c>
      <c r="T4" s="16" t="s">
        <v>20</v>
      </c>
      <c r="U4" s="32">
        <v>1472593.14</v>
      </c>
      <c r="V4" s="27" t="s">
        <v>21</v>
      </c>
      <c r="W4" s="33">
        <v>0.31719999999999998</v>
      </c>
      <c r="X4" s="34" t="s">
        <v>22</v>
      </c>
      <c r="Y4" s="35">
        <v>1276748.1599999999</v>
      </c>
      <c r="Z4" s="35">
        <v>195844.98</v>
      </c>
      <c r="AA4" s="36">
        <v>1472593.14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814182.42</v>
      </c>
      <c r="K5" s="27" t="s">
        <v>26</v>
      </c>
      <c r="L5" s="33">
        <v>9.4537650102880899E-4</v>
      </c>
      <c r="M5" s="37" t="s">
        <v>27</v>
      </c>
      <c r="N5" s="30">
        <v>270600.65999999997</v>
      </c>
      <c r="O5" s="30">
        <v>4248.66</v>
      </c>
      <c r="P5" s="36">
        <v>274849.32</v>
      </c>
      <c r="S5" s="16" t="s">
        <v>25</v>
      </c>
      <c r="T5" s="16" t="s">
        <v>20</v>
      </c>
      <c r="U5" s="32">
        <v>1276748.1599999999</v>
      </c>
      <c r="V5" s="27" t="s">
        <v>26</v>
      </c>
      <c r="W5" s="33">
        <v>1.2489328858342999E-3</v>
      </c>
      <c r="X5" s="37" t="s">
        <v>27</v>
      </c>
      <c r="Y5" s="30">
        <v>368172.27</v>
      </c>
      <c r="Z5" s="30">
        <v>12646.64</v>
      </c>
      <c r="AA5" s="36">
        <v>380818.91</v>
      </c>
    </row>
    <row r="6" spans="1:27" ht="21.75" customHeight="1">
      <c r="A6" s="69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4285</v>
      </c>
      <c r="K6" s="27" t="s">
        <v>31</v>
      </c>
      <c r="L6" s="39">
        <v>0.14044830629111599</v>
      </c>
      <c r="M6" s="40" t="s">
        <v>32</v>
      </c>
      <c r="N6" s="30">
        <v>0</v>
      </c>
      <c r="O6" s="30">
        <v>0</v>
      </c>
      <c r="P6" s="36">
        <v>0</v>
      </c>
      <c r="S6" s="16" t="s">
        <v>29</v>
      </c>
      <c r="T6" s="16" t="s">
        <v>30</v>
      </c>
      <c r="U6" s="38">
        <v>6171</v>
      </c>
      <c r="V6" s="27" t="s">
        <v>31</v>
      </c>
      <c r="W6" s="39">
        <v>0.13099680744132799</v>
      </c>
      <c r="X6" s="40" t="s">
        <v>32</v>
      </c>
      <c r="Y6" s="30">
        <v>0</v>
      </c>
      <c r="Z6" s="30">
        <v>0</v>
      </c>
      <c r="AA6" s="36">
        <v>0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190.00756592765501</v>
      </c>
      <c r="K7" s="27" t="s">
        <v>36</v>
      </c>
      <c r="L7" s="41">
        <v>0.33949082814979098</v>
      </c>
      <c r="M7" s="40" t="s">
        <v>37</v>
      </c>
      <c r="N7" s="30">
        <v>166124.48000000001</v>
      </c>
      <c r="O7" s="30">
        <v>4118.12</v>
      </c>
      <c r="P7" s="36">
        <v>170242.6</v>
      </c>
      <c r="S7" s="16" t="s">
        <v>35</v>
      </c>
      <c r="T7" s="16" t="s">
        <v>20</v>
      </c>
      <c r="U7" s="32">
        <v>206.89485658726301</v>
      </c>
      <c r="V7" s="27" t="s">
        <v>36</v>
      </c>
      <c r="W7" s="41">
        <v>0.42430280505041601</v>
      </c>
      <c r="X7" s="40" t="s">
        <v>37</v>
      </c>
      <c r="Y7" s="30">
        <v>260760.56</v>
      </c>
      <c r="Z7" s="30">
        <v>11444.1</v>
      </c>
      <c r="AA7" s="36">
        <v>272204.65999999997</v>
      </c>
    </row>
    <row r="8" spans="1:27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215676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v>449457.5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>
        <f>(X30-M30)/C4</f>
        <v>12.3793103448276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14370</v>
      </c>
      <c r="AA9" s="36">
        <v>14370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64303</v>
      </c>
      <c r="K10" s="27"/>
      <c r="L10" s="43"/>
      <c r="M10" s="40" t="s">
        <v>49</v>
      </c>
      <c r="N10" s="30">
        <v>89367</v>
      </c>
      <c r="O10" s="30">
        <v>1568</v>
      </c>
      <c r="P10" s="36">
        <v>90935</v>
      </c>
      <c r="S10" s="16" t="s">
        <v>48</v>
      </c>
      <c r="T10" s="16" t="s">
        <v>20</v>
      </c>
      <c r="U10" s="32">
        <v>85243</v>
      </c>
      <c r="V10" s="27"/>
      <c r="W10" s="43"/>
      <c r="X10" s="40" t="s">
        <v>49</v>
      </c>
      <c r="Y10" s="30">
        <v>115238</v>
      </c>
      <c r="Z10" s="30">
        <v>7458</v>
      </c>
      <c r="AA10" s="36">
        <v>122696</v>
      </c>
    </row>
    <row r="11" spans="1:27" ht="21.75" customHeight="1">
      <c r="A11" s="68" t="s">
        <v>50</v>
      </c>
      <c r="B11" s="6" t="s">
        <v>51</v>
      </c>
      <c r="C11" s="12">
        <f>(Y4-N4)/C3</f>
        <v>245.262852598091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7973</v>
      </c>
      <c r="AA11" s="36">
        <v>7973</v>
      </c>
    </row>
    <row r="12" spans="1:27" ht="21.75" customHeight="1">
      <c r="A12" s="70"/>
      <c r="B12" s="6" t="s">
        <v>53</v>
      </c>
      <c r="C12" s="12">
        <f>(Z4-O4)/C4</f>
        <v>5262.8610344827603</v>
      </c>
      <c r="D12" s="8" t="s">
        <v>9</v>
      </c>
      <c r="H12" s="16" t="s">
        <v>54</v>
      </c>
      <c r="I12" s="16" t="s">
        <v>20</v>
      </c>
      <c r="J12" s="32">
        <v>650.57000000000005</v>
      </c>
      <c r="K12" s="27"/>
      <c r="L12" s="43"/>
      <c r="M12" s="40" t="s">
        <v>55</v>
      </c>
      <c r="N12" s="30">
        <v>16041</v>
      </c>
      <c r="O12" s="30">
        <v>909</v>
      </c>
      <c r="P12" s="36">
        <v>16950</v>
      </c>
      <c r="S12" s="16" t="s">
        <v>54</v>
      </c>
      <c r="T12" s="16" t="s">
        <v>20</v>
      </c>
      <c r="U12" s="32">
        <v>1348.15</v>
      </c>
      <c r="V12" s="27"/>
      <c r="W12" s="43"/>
      <c r="X12" s="40" t="s">
        <v>55</v>
      </c>
      <c r="Y12" s="30">
        <v>24078</v>
      </c>
      <c r="Z12" s="30">
        <v>7545</v>
      </c>
      <c r="AA12" s="36">
        <v>31623</v>
      </c>
    </row>
    <row r="13" spans="1:27" ht="21.75" customHeight="1">
      <c r="A13" s="68" t="s">
        <v>56</v>
      </c>
      <c r="B13" s="6" t="s">
        <v>93</v>
      </c>
      <c r="C13" s="13">
        <f>(SUM(AA5:AA6)-SUM(P5:P6))/(AA4-AA7-(P4-P7))</f>
        <v>0.20647717728609799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44702</v>
      </c>
      <c r="O13" s="30">
        <v>3837</v>
      </c>
      <c r="P13" s="36">
        <v>48539</v>
      </c>
      <c r="S13" s="16" t="s">
        <v>44</v>
      </c>
      <c r="T13" s="16"/>
      <c r="U13" s="32"/>
      <c r="V13" s="27"/>
      <c r="W13" s="43"/>
      <c r="X13" s="40" t="s">
        <v>58</v>
      </c>
      <c r="Y13" s="30">
        <v>59103</v>
      </c>
      <c r="Z13" s="30">
        <v>18216</v>
      </c>
      <c r="AA13" s="36">
        <v>77319</v>
      </c>
    </row>
    <row r="14" spans="1:27" ht="21.75" customHeight="1">
      <c r="A14" s="69"/>
      <c r="B14" s="6" t="s">
        <v>59</v>
      </c>
      <c r="C14" s="13">
        <f>(AA7-P7)/(AA4-P4)</f>
        <v>0.16574111056101801</v>
      </c>
      <c r="D14" s="8" t="s">
        <v>9</v>
      </c>
      <c r="H14" s="16" t="s">
        <v>60</v>
      </c>
      <c r="I14" s="16" t="s">
        <v>20</v>
      </c>
      <c r="J14" s="32">
        <v>436725.14</v>
      </c>
      <c r="K14" s="27"/>
      <c r="L14" s="43"/>
      <c r="M14" s="40" t="s">
        <v>61</v>
      </c>
      <c r="N14" s="30">
        <v>124867</v>
      </c>
      <c r="O14" s="30">
        <v>15848</v>
      </c>
      <c r="P14" s="36">
        <v>140715</v>
      </c>
      <c r="S14" s="16" t="s">
        <v>60</v>
      </c>
      <c r="T14" s="16" t="s">
        <v>20</v>
      </c>
      <c r="U14" s="32">
        <v>628932.82999999996</v>
      </c>
      <c r="V14" s="27"/>
      <c r="W14" s="43"/>
      <c r="X14" s="40" t="s">
        <v>61</v>
      </c>
      <c r="Y14" s="30">
        <v>332721.5</v>
      </c>
      <c r="Z14" s="30">
        <v>90953</v>
      </c>
      <c r="AA14" s="36">
        <v>423674.5</v>
      </c>
    </row>
    <row r="15" spans="1:27" ht="21.75" customHeight="1">
      <c r="A15" s="69"/>
      <c r="B15" s="6" t="s">
        <v>62</v>
      </c>
      <c r="C15" s="13">
        <f>(AA17-P17)/(AA4-P4)</f>
        <v>1.6720072772466799E-3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1442</v>
      </c>
      <c r="O15" s="30">
        <v>0</v>
      </c>
      <c r="P15" s="36">
        <v>1442</v>
      </c>
      <c r="S15" s="16" t="s">
        <v>44</v>
      </c>
      <c r="T15" s="16"/>
      <c r="U15" s="32"/>
      <c r="V15" s="27"/>
      <c r="W15" s="43"/>
      <c r="X15" s="40" t="s">
        <v>63</v>
      </c>
      <c r="Y15" s="30">
        <v>1498</v>
      </c>
      <c r="Z15" s="30">
        <v>0</v>
      </c>
      <c r="AA15" s="36">
        <v>1498</v>
      </c>
    </row>
    <row r="16" spans="1:27" ht="21.75" customHeight="1">
      <c r="A16" s="69"/>
      <c r="B16" s="6" t="s">
        <v>64</v>
      </c>
      <c r="C16" s="13">
        <f>(SUM(AA12:AA13,AA18:AA20)-SUM(P12:P13,P18:P20))/(AA4-P4)</f>
        <v>0.11782400883137099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41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0.54250745271316803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650.57000000000005</v>
      </c>
      <c r="O17" s="30">
        <v>160</v>
      </c>
      <c r="P17" s="36">
        <v>810.57</v>
      </c>
      <c r="S17" s="16" t="s">
        <v>69</v>
      </c>
      <c r="T17" s="16" t="s">
        <v>70</v>
      </c>
      <c r="U17" s="32">
        <v>195844.98</v>
      </c>
      <c r="V17" s="27"/>
      <c r="W17" s="43"/>
      <c r="X17" s="40" t="s">
        <v>71</v>
      </c>
      <c r="Y17" s="30">
        <v>1348.15</v>
      </c>
      <c r="Z17" s="30">
        <v>491.02</v>
      </c>
      <c r="AA17" s="36">
        <v>1839.17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4169</v>
      </c>
      <c r="O18" s="30">
        <v>556</v>
      </c>
      <c r="P18" s="36">
        <v>4725</v>
      </c>
      <c r="S18" s="16" t="s">
        <v>72</v>
      </c>
      <c r="T18" s="16" t="s">
        <v>20</v>
      </c>
      <c r="U18" s="32">
        <v>4776.7068292682898</v>
      </c>
      <c r="V18" s="27"/>
      <c r="W18" s="43"/>
      <c r="X18" s="40" t="s">
        <v>73</v>
      </c>
      <c r="Y18" s="30">
        <v>4169</v>
      </c>
      <c r="Z18" s="30">
        <v>2224</v>
      </c>
      <c r="AA18" s="36">
        <v>6393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20401</v>
      </c>
      <c r="O19" s="30">
        <v>4591</v>
      </c>
      <c r="P19" s="36">
        <v>24992</v>
      </c>
      <c r="S19" s="16" t="s">
        <v>74</v>
      </c>
      <c r="T19" s="16" t="s">
        <v>20</v>
      </c>
      <c r="U19" s="32">
        <v>120754</v>
      </c>
      <c r="V19" s="27"/>
      <c r="W19" s="43"/>
      <c r="X19" s="40" t="s">
        <v>75</v>
      </c>
      <c r="Y19" s="30">
        <v>26463</v>
      </c>
      <c r="Z19" s="30">
        <v>17361</v>
      </c>
      <c r="AA19" s="36">
        <v>43824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23692</v>
      </c>
      <c r="O20" s="30">
        <v>1523</v>
      </c>
      <c r="P20" s="36">
        <v>25215</v>
      </c>
      <c r="S20" s="16" t="s">
        <v>44</v>
      </c>
      <c r="T20" s="16"/>
      <c r="U20" s="32"/>
      <c r="V20" s="27"/>
      <c r="W20" s="43"/>
      <c r="X20" s="40" t="s">
        <v>76</v>
      </c>
      <c r="Y20" s="30">
        <v>30533</v>
      </c>
      <c r="Z20" s="30">
        <v>3213</v>
      </c>
      <c r="AA20" s="36">
        <v>33746</v>
      </c>
    </row>
    <row r="21" spans="1:27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v>30343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  <c r="S23" s="16" t="s">
        <v>54</v>
      </c>
      <c r="T23" s="16" t="s">
        <v>20</v>
      </c>
      <c r="U23" s="32">
        <v>491.02</v>
      </c>
      <c r="V23" s="27"/>
      <c r="W23" s="43"/>
      <c r="X23" s="40" t="s">
        <v>80</v>
      </c>
      <c r="Y23" s="30">
        <v>144</v>
      </c>
      <c r="Z23" s="30">
        <v>0</v>
      </c>
      <c r="AA23" s="36">
        <v>144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v>0</v>
      </c>
    </row>
    <row r="25" spans="1:27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51981.71</v>
      </c>
      <c r="O25" s="30">
        <v>617.23</v>
      </c>
      <c r="P25" s="36">
        <v>52598.94</v>
      </c>
      <c r="S25" s="16" t="s">
        <v>60</v>
      </c>
      <c r="T25" s="16" t="s">
        <v>20</v>
      </c>
      <c r="U25" s="32">
        <v>24090.74</v>
      </c>
      <c r="V25" s="27"/>
      <c r="W25" s="43"/>
      <c r="X25" s="40" t="s">
        <v>82</v>
      </c>
      <c r="Y25" s="30">
        <v>52519.68</v>
      </c>
      <c r="Z25" s="30">
        <v>1950.22</v>
      </c>
      <c r="AA25" s="36">
        <v>54469.9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28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12330</v>
      </c>
      <c r="N28" s="24"/>
      <c r="O28" s="24"/>
      <c r="P28" s="24"/>
      <c r="W28" s="49" t="s">
        <v>86</v>
      </c>
      <c r="X28" s="50">
        <v>16470</v>
      </c>
      <c r="Y28" s="24"/>
      <c r="Z28" s="24"/>
      <c r="AA28" s="24"/>
    </row>
    <row r="29" spans="1:27" ht="26.1" customHeight="1">
      <c r="L29" s="51" t="s">
        <v>87</v>
      </c>
      <c r="M29" s="50">
        <v>553</v>
      </c>
      <c r="N29" s="24"/>
      <c r="O29" s="24"/>
      <c r="P29" s="24"/>
      <c r="W29" s="51" t="s">
        <v>87</v>
      </c>
      <c r="X29" s="50">
        <v>864</v>
      </c>
      <c r="Y29" s="24"/>
      <c r="Z29" s="24"/>
      <c r="AA29" s="24"/>
    </row>
    <row r="30" spans="1:27" ht="26.1" customHeight="1">
      <c r="L30" s="51" t="s">
        <v>88</v>
      </c>
      <c r="M30" s="50">
        <v>241</v>
      </c>
      <c r="N30" s="24"/>
      <c r="O30" s="24"/>
      <c r="P30" s="24"/>
      <c r="W30" s="51" t="s">
        <v>88</v>
      </c>
      <c r="X30" s="50">
        <v>600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C10" sqref="C10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5" t="s">
        <v>0</v>
      </c>
      <c r="B1" s="65"/>
      <c r="C1" s="65"/>
      <c r="H1" s="66" t="s">
        <v>97</v>
      </c>
      <c r="I1" s="66"/>
      <c r="J1" s="66"/>
      <c r="K1" s="66"/>
      <c r="L1" s="66"/>
      <c r="M1" s="66"/>
      <c r="N1" s="66"/>
      <c r="O1" s="66"/>
      <c r="P1" s="24"/>
      <c r="S1" s="66" t="s">
        <v>94</v>
      </c>
      <c r="T1" s="66"/>
      <c r="U1" s="66"/>
      <c r="V1" s="66"/>
      <c r="W1" s="66"/>
      <c r="X1" s="66"/>
      <c r="Y1" s="66"/>
      <c r="Z1" s="66"/>
      <c r="AA1" s="24"/>
    </row>
    <row r="2" spans="1:27" ht="21.75" customHeight="1">
      <c r="A2" s="3" t="s">
        <v>3</v>
      </c>
      <c r="B2" s="4" t="s">
        <v>4</v>
      </c>
      <c r="C2" s="3" t="s">
        <v>98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68" t="s">
        <v>7</v>
      </c>
      <c r="B3" s="6" t="s">
        <v>8</v>
      </c>
      <c r="C3" s="7">
        <f>U6-J6</f>
        <v>1619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69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v>551120.99</v>
      </c>
      <c r="K4" s="27" t="s">
        <v>21</v>
      </c>
      <c r="L4" s="33">
        <v>0.38159999999999999</v>
      </c>
      <c r="M4" s="34" t="s">
        <v>22</v>
      </c>
      <c r="N4" s="35">
        <v>507898.98</v>
      </c>
      <c r="O4" s="35">
        <v>43222.01</v>
      </c>
      <c r="P4" s="36">
        <v>551120.99</v>
      </c>
      <c r="S4" s="16" t="s">
        <v>19</v>
      </c>
      <c r="T4" s="16" t="s">
        <v>20</v>
      </c>
      <c r="U4" s="32">
        <v>857404.43</v>
      </c>
      <c r="V4" s="27" t="s">
        <v>21</v>
      </c>
      <c r="W4" s="33">
        <v>0.4</v>
      </c>
      <c r="X4" s="34" t="s">
        <v>22</v>
      </c>
      <c r="Y4" s="35">
        <v>814182.42</v>
      </c>
      <c r="Z4" s="35">
        <v>43222.01</v>
      </c>
      <c r="AA4" s="36">
        <v>857404.43</v>
      </c>
    </row>
    <row r="5" spans="1:27" ht="21.75" customHeight="1">
      <c r="A5" s="69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507898.98</v>
      </c>
      <c r="K5" s="27" t="s">
        <v>26</v>
      </c>
      <c r="L5" s="33">
        <v>5.2347851966226099E-4</v>
      </c>
      <c r="M5" s="37" t="s">
        <v>27</v>
      </c>
      <c r="N5" s="30">
        <v>179270.99</v>
      </c>
      <c r="O5" s="30">
        <v>4248.66</v>
      </c>
      <c r="P5" s="36">
        <v>183519.65</v>
      </c>
      <c r="S5" s="16" t="s">
        <v>25</v>
      </c>
      <c r="T5" s="16" t="s">
        <v>20</v>
      </c>
      <c r="U5" s="32">
        <v>814182.42</v>
      </c>
      <c r="V5" s="27" t="s">
        <v>26</v>
      </c>
      <c r="W5" s="33">
        <v>9.4537650102880899E-4</v>
      </c>
      <c r="X5" s="37" t="s">
        <v>27</v>
      </c>
      <c r="Y5" s="30">
        <v>270600.65999999997</v>
      </c>
      <c r="Z5" s="30">
        <v>4248.66</v>
      </c>
      <c r="AA5" s="36">
        <v>274849.32</v>
      </c>
    </row>
    <row r="6" spans="1:27" ht="21.75" customHeight="1">
      <c r="A6" s="69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2666</v>
      </c>
      <c r="K6" s="27" t="s">
        <v>31</v>
      </c>
      <c r="L6" s="39">
        <v>0.14653225238254899</v>
      </c>
      <c r="M6" s="40" t="s">
        <v>32</v>
      </c>
      <c r="N6" s="30">
        <v>0</v>
      </c>
      <c r="O6" s="30">
        <v>0</v>
      </c>
      <c r="P6" s="36">
        <v>0</v>
      </c>
      <c r="S6" s="16" t="s">
        <v>29</v>
      </c>
      <c r="T6" s="16" t="s">
        <v>30</v>
      </c>
      <c r="U6" s="38">
        <v>4285</v>
      </c>
      <c r="V6" s="27" t="s">
        <v>31</v>
      </c>
      <c r="W6" s="39">
        <v>0.14044830629111599</v>
      </c>
      <c r="X6" s="40" t="s">
        <v>32</v>
      </c>
      <c r="Y6" s="30">
        <v>0</v>
      </c>
      <c r="Z6" s="30">
        <v>0</v>
      </c>
      <c r="AA6" s="36">
        <v>0</v>
      </c>
    </row>
    <row r="7" spans="1:27" ht="21.75" customHeight="1">
      <c r="A7" s="69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190.509744936234</v>
      </c>
      <c r="K7" s="27" t="s">
        <v>36</v>
      </c>
      <c r="L7" s="41">
        <v>0.392606839380224</v>
      </c>
      <c r="M7" s="40" t="s">
        <v>37</v>
      </c>
      <c r="N7" s="30">
        <v>66063.850000000006</v>
      </c>
      <c r="O7" s="30">
        <v>4118.12</v>
      </c>
      <c r="P7" s="36">
        <v>70181.97</v>
      </c>
      <c r="S7" s="16" t="s">
        <v>35</v>
      </c>
      <c r="T7" s="16" t="s">
        <v>20</v>
      </c>
      <c r="U7" s="32">
        <v>190.00756592765501</v>
      </c>
      <c r="V7" s="27" t="s">
        <v>36</v>
      </c>
      <c r="W7" s="41">
        <v>0.33949082814979098</v>
      </c>
      <c r="X7" s="40" t="s">
        <v>37</v>
      </c>
      <c r="Y7" s="30">
        <v>166124.48000000001</v>
      </c>
      <c r="Z7" s="30">
        <v>4118.12</v>
      </c>
      <c r="AA7" s="36">
        <v>170242.6</v>
      </c>
    </row>
    <row r="8" spans="1:27" ht="21.75" customHeight="1">
      <c r="A8" s="70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141338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v>215676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>
        <v>0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3580</v>
      </c>
      <c r="AA9" s="36">
        <v>3580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41326</v>
      </c>
      <c r="K10" s="27"/>
      <c r="L10" s="43"/>
      <c r="M10" s="40" t="s">
        <v>49</v>
      </c>
      <c r="N10" s="30">
        <v>67276</v>
      </c>
      <c r="O10" s="30">
        <v>1568</v>
      </c>
      <c r="P10" s="36">
        <v>68844</v>
      </c>
      <c r="S10" s="16" t="s">
        <v>48</v>
      </c>
      <c r="T10" s="16" t="s">
        <v>20</v>
      </c>
      <c r="U10" s="32">
        <v>64303</v>
      </c>
      <c r="V10" s="27"/>
      <c r="W10" s="43"/>
      <c r="X10" s="40" t="s">
        <v>49</v>
      </c>
      <c r="Y10" s="30">
        <v>89367</v>
      </c>
      <c r="Z10" s="30">
        <v>1568</v>
      </c>
      <c r="AA10" s="36">
        <v>90935</v>
      </c>
    </row>
    <row r="11" spans="1:27" ht="21.75" customHeight="1">
      <c r="A11" s="68" t="s">
        <v>50</v>
      </c>
      <c r="B11" s="6" t="s">
        <v>51</v>
      </c>
      <c r="C11" s="12">
        <f>(Y4-N4)/C3</f>
        <v>189.18063001853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1666</v>
      </c>
      <c r="AA11" s="36">
        <v>1666</v>
      </c>
    </row>
    <row r="12" spans="1:27" ht="21.75" customHeight="1">
      <c r="A12" s="70"/>
      <c r="B12" s="6" t="s">
        <v>53</v>
      </c>
      <c r="C12" s="12">
        <v>0</v>
      </c>
      <c r="D12" s="8" t="s">
        <v>9</v>
      </c>
      <c r="H12" s="16" t="s">
        <v>54</v>
      </c>
      <c r="I12" s="16" t="s">
        <v>20</v>
      </c>
      <c r="J12" s="32">
        <v>128.5</v>
      </c>
      <c r="K12" s="27"/>
      <c r="L12" s="43"/>
      <c r="M12" s="40" t="s">
        <v>55</v>
      </c>
      <c r="N12" s="30">
        <v>9069</v>
      </c>
      <c r="O12" s="30">
        <v>909</v>
      </c>
      <c r="P12" s="36">
        <v>9978</v>
      </c>
      <c r="S12" s="16" t="s">
        <v>54</v>
      </c>
      <c r="T12" s="16" t="s">
        <v>20</v>
      </c>
      <c r="U12" s="32">
        <v>650.57000000000005</v>
      </c>
      <c r="V12" s="27"/>
      <c r="W12" s="43"/>
      <c r="X12" s="40" t="s">
        <v>55</v>
      </c>
      <c r="Y12" s="30">
        <v>16041</v>
      </c>
      <c r="Z12" s="30">
        <v>909</v>
      </c>
      <c r="AA12" s="36">
        <v>16950</v>
      </c>
    </row>
    <row r="13" spans="1:27" ht="21.75" customHeight="1">
      <c r="A13" s="68" t="s">
        <v>56</v>
      </c>
      <c r="B13" s="6" t="s">
        <v>93</v>
      </c>
      <c r="C13" s="13">
        <f>(SUM(AA5:AA6)-SUM(P5:P6))/(AA4-AA7-(P4-P7))</f>
        <v>0.44286890475403801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28015</v>
      </c>
      <c r="O13" s="30">
        <v>3837</v>
      </c>
      <c r="P13" s="36">
        <v>31852</v>
      </c>
      <c r="S13" s="16" t="s">
        <v>44</v>
      </c>
      <c r="T13" s="16"/>
      <c r="U13" s="32"/>
      <c r="V13" s="27"/>
      <c r="W13" s="43"/>
      <c r="X13" s="40" t="s">
        <v>58</v>
      </c>
      <c r="Y13" s="30">
        <v>44702</v>
      </c>
      <c r="Z13" s="30">
        <v>3837</v>
      </c>
      <c r="AA13" s="36">
        <v>48539</v>
      </c>
    </row>
    <row r="14" spans="1:27" ht="21.75" customHeight="1">
      <c r="A14" s="69"/>
      <c r="B14" s="6" t="s">
        <v>59</v>
      </c>
      <c r="C14" s="13">
        <f>(AA7-P7)/(AA4-P4)</f>
        <v>0.32669291555560398</v>
      </c>
      <c r="D14" s="8" t="s">
        <v>9</v>
      </c>
      <c r="H14" s="16" t="s">
        <v>60</v>
      </c>
      <c r="I14" s="16" t="s">
        <v>20</v>
      </c>
      <c r="J14" s="32">
        <v>245334.84</v>
      </c>
      <c r="K14" s="27"/>
      <c r="L14" s="43"/>
      <c r="M14" s="40" t="s">
        <v>61</v>
      </c>
      <c r="N14" s="30">
        <v>72936</v>
      </c>
      <c r="O14" s="30">
        <v>15848</v>
      </c>
      <c r="P14" s="36">
        <v>88784</v>
      </c>
      <c r="S14" s="16" t="s">
        <v>60</v>
      </c>
      <c r="T14" s="16" t="s">
        <v>20</v>
      </c>
      <c r="U14" s="32">
        <v>436725.14</v>
      </c>
      <c r="V14" s="27"/>
      <c r="W14" s="43"/>
      <c r="X14" s="40" t="s">
        <v>61</v>
      </c>
      <c r="Y14" s="30">
        <v>124867</v>
      </c>
      <c r="Z14" s="30">
        <v>15848</v>
      </c>
      <c r="AA14" s="36">
        <v>140715</v>
      </c>
    </row>
    <row r="15" spans="1:27" ht="21.75" customHeight="1">
      <c r="A15" s="69"/>
      <c r="B15" s="6" t="s">
        <v>62</v>
      </c>
      <c r="C15" s="13">
        <f>(AA17-P17)/(AA4-P4)</f>
        <v>1.7045322463401899E-3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1126</v>
      </c>
      <c r="O15" s="30">
        <v>0</v>
      </c>
      <c r="P15" s="36">
        <v>1126</v>
      </c>
      <c r="S15" s="16" t="s">
        <v>44</v>
      </c>
      <c r="T15" s="16"/>
      <c r="U15" s="32"/>
      <c r="V15" s="27"/>
      <c r="W15" s="43"/>
      <c r="X15" s="40" t="s">
        <v>63</v>
      </c>
      <c r="Y15" s="30">
        <v>1442</v>
      </c>
      <c r="Z15" s="30">
        <v>0</v>
      </c>
      <c r="AA15" s="36">
        <v>1442</v>
      </c>
    </row>
    <row r="16" spans="1:27" ht="21.75" customHeight="1">
      <c r="A16" s="69"/>
      <c r="B16" s="6" t="s">
        <v>64</v>
      </c>
      <c r="C16" s="13">
        <f>(SUM(AA12:AA13,AA18:AA20)-SUM(P12:P13,P18:P20))/(AA4-P4)</f>
        <v>0.12950096159296101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12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0"/>
      <c r="B17" s="6" t="s">
        <v>68</v>
      </c>
      <c r="C17" s="13">
        <f>((AA4-SUM(AA5:AA7,AA12:AA13,AA17:AA20)-(P4-SUM(P5:P7,P12:P13,P17:P20)))/(AA4-P4))</f>
        <v>0.24391481955407099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128.5</v>
      </c>
      <c r="O17" s="30">
        <v>160</v>
      </c>
      <c r="P17" s="36">
        <v>288.5</v>
      </c>
      <c r="S17" s="16" t="s">
        <v>69</v>
      </c>
      <c r="T17" s="16" t="s">
        <v>70</v>
      </c>
      <c r="U17" s="32">
        <v>43222.01</v>
      </c>
      <c r="V17" s="27"/>
      <c r="W17" s="43"/>
      <c r="X17" s="40" t="s">
        <v>71</v>
      </c>
      <c r="Y17" s="30">
        <v>650.57000000000005</v>
      </c>
      <c r="Z17" s="30">
        <v>160</v>
      </c>
      <c r="AA17" s="36">
        <v>810.57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1112</v>
      </c>
      <c r="O18" s="30">
        <v>556</v>
      </c>
      <c r="P18" s="36">
        <v>1668</v>
      </c>
      <c r="S18" s="16" t="s">
        <v>72</v>
      </c>
      <c r="T18" s="16" t="s">
        <v>20</v>
      </c>
      <c r="U18" s="32">
        <v>3601.8341666666702</v>
      </c>
      <c r="V18" s="27"/>
      <c r="W18" s="43"/>
      <c r="X18" s="40" t="s">
        <v>73</v>
      </c>
      <c r="Y18" s="30">
        <v>4169</v>
      </c>
      <c r="Z18" s="30">
        <v>556</v>
      </c>
      <c r="AA18" s="36">
        <v>4725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11446</v>
      </c>
      <c r="O19" s="30">
        <v>4591</v>
      </c>
      <c r="P19" s="36">
        <v>16037</v>
      </c>
      <c r="S19" s="16" t="s">
        <v>74</v>
      </c>
      <c r="T19" s="16" t="s">
        <v>20</v>
      </c>
      <c r="U19" s="32">
        <v>22662</v>
      </c>
      <c r="V19" s="27"/>
      <c r="W19" s="43"/>
      <c r="X19" s="40" t="s">
        <v>75</v>
      </c>
      <c r="Y19" s="30">
        <v>20401</v>
      </c>
      <c r="Z19" s="30">
        <v>4591</v>
      </c>
      <c r="AA19" s="36">
        <v>24992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19699</v>
      </c>
      <c r="O20" s="30">
        <v>1523</v>
      </c>
      <c r="P20" s="36">
        <v>21222</v>
      </c>
      <c r="S20" s="16" t="s">
        <v>44</v>
      </c>
      <c r="T20" s="16"/>
      <c r="U20" s="32"/>
      <c r="V20" s="27"/>
      <c r="W20" s="43"/>
      <c r="X20" s="40" t="s">
        <v>76</v>
      </c>
      <c r="Y20" s="30">
        <v>23692</v>
      </c>
      <c r="Z20" s="30">
        <v>1523</v>
      </c>
      <c r="AA20" s="36">
        <v>25215</v>
      </c>
    </row>
    <row r="21" spans="1:27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v>7579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  <c r="S23" s="16" t="s">
        <v>54</v>
      </c>
      <c r="T23" s="16" t="s">
        <v>20</v>
      </c>
      <c r="U23" s="32">
        <v>160</v>
      </c>
      <c r="V23" s="27"/>
      <c r="W23" s="43"/>
      <c r="X23" s="40" t="s">
        <v>80</v>
      </c>
      <c r="Y23" s="30">
        <v>144</v>
      </c>
      <c r="Z23" s="30">
        <v>0</v>
      </c>
      <c r="AA23" s="36">
        <v>144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v>0</v>
      </c>
    </row>
    <row r="25" spans="1:27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51612.639999999999</v>
      </c>
      <c r="O25" s="30">
        <v>617.23</v>
      </c>
      <c r="P25" s="36">
        <v>52229.87</v>
      </c>
      <c r="S25" s="16" t="s">
        <v>60</v>
      </c>
      <c r="T25" s="16" t="s">
        <v>20</v>
      </c>
      <c r="U25" s="32">
        <v>8366.7800000000007</v>
      </c>
      <c r="V25" s="27"/>
      <c r="W25" s="43"/>
      <c r="X25" s="40" t="s">
        <v>82</v>
      </c>
      <c r="Y25" s="30">
        <v>51981.71</v>
      </c>
      <c r="Z25" s="30">
        <v>617.23</v>
      </c>
      <c r="AA25" s="36">
        <v>52598.94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10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8190</v>
      </c>
      <c r="N28" s="24"/>
      <c r="O28" s="24"/>
      <c r="P28" s="24"/>
      <c r="W28" s="49" t="s">
        <v>86</v>
      </c>
      <c r="X28" s="50">
        <v>12330</v>
      </c>
      <c r="Y28" s="24"/>
      <c r="Z28" s="24"/>
      <c r="AA28" s="24"/>
    </row>
    <row r="29" spans="1:27" ht="26.1" customHeight="1">
      <c r="L29" s="51" t="s">
        <v>87</v>
      </c>
      <c r="M29" s="50">
        <v>90</v>
      </c>
      <c r="N29" s="24">
        <v>1624</v>
      </c>
      <c r="O29" s="24"/>
      <c r="P29" s="24"/>
      <c r="W29" s="51" t="s">
        <v>87</v>
      </c>
      <c r="X29" s="50">
        <v>553</v>
      </c>
      <c r="Y29" s="24"/>
      <c r="Z29" s="24"/>
      <c r="AA29" s="24"/>
    </row>
    <row r="30" spans="1:27" ht="26.1" customHeight="1">
      <c r="L30" s="51" t="s">
        <v>88</v>
      </c>
      <c r="M30" s="50">
        <v>98</v>
      </c>
      <c r="N30" s="24">
        <v>1448</v>
      </c>
      <c r="O30" s="24"/>
      <c r="P30" s="24"/>
      <c r="W30" s="51" t="s">
        <v>88</v>
      </c>
      <c r="X30" s="50">
        <v>241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5">
    <comment s:ref="K7" rgbClr="189884"/>
    <comment s:ref="V7" rgbClr="189884"/>
  </commentList>
  <commentList sheetStid="34"/>
  <commentList sheetStid="33"/>
  <commentList sheetStid="32"/>
  <commentList sheetStid="31"/>
  <commentList sheetStid="30"/>
  <commentList sheetStid="29"/>
  <commentList sheetStid="28"/>
  <commentList sheetStid="27"/>
  <commentList sheetStid="26"/>
  <commentList sheetStid="25"/>
  <commentList sheetStid="23"/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2022年第三季</vt:lpstr>
      <vt:lpstr>2022年第二季</vt:lpstr>
      <vt:lpstr>2022年第一季</vt:lpstr>
      <vt:lpstr>2021年第四季</vt:lpstr>
      <vt:lpstr>2021年第三季</vt:lpstr>
      <vt:lpstr>2021年第二季</vt:lpstr>
      <vt:lpstr>2021年第一季</vt:lpstr>
      <vt:lpstr>2020年第四季</vt:lpstr>
      <vt:lpstr>2020年第三季</vt:lpstr>
      <vt:lpstr>2020年第二季</vt:lpstr>
      <vt:lpstr>2020年第一季</vt:lpstr>
      <vt:lpstr>2019年第四季</vt:lpstr>
      <vt:lpstr>2019年第三季 </vt:lpstr>
      <vt:lpstr>2019年第二季</vt:lpstr>
      <vt:lpstr>2019年第一季</vt:lpstr>
      <vt:lpstr>2018年第四季度</vt:lpstr>
      <vt:lpstr>2018年第三季度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2018-11-22T07:31:00Z</cp:lastPrinted>
  <dcterms:created xsi:type="dcterms:W3CDTF">2017-01-13T02:17:00Z</dcterms:created>
  <dcterms:modified xsi:type="dcterms:W3CDTF">2022-11-04T02:14:24Z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F900A3777DCA4217ABFBCD4C7C7B7310</vt:lpwstr>
  </property>
</Properties>
</file>