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6" r:id="rId1"/>
  </sheets>
  <definedNames>
    <definedName name="_xlnm._FilterDatabase" localSheetId="0" hidden="1">'Sheet1 (2)'!$A$5:$O$65</definedName>
    <definedName name="_xlnm.Print_Area" localSheetId="0">'Sheet1 (2)'!$6:$65</definedName>
    <definedName name="_xlnm.Print_Titles" localSheetId="0">'Sheet1 (2)'!$1:$5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<sst xmlns="http://schemas.openxmlformats.org/spreadsheetml/2006/main" count="362" uniqueCount="90">
  <si>
    <t>附件</t>
  </si>
  <si>
    <t xml:space="preserve">    2025年全省林业贷款贴息发放表</t>
  </si>
  <si>
    <t xml:space="preserve">                                                                                              单位：万元</t>
  </si>
  <si>
    <t>市</t>
  </si>
  <si>
    <t>序号</t>
  </si>
  <si>
    <t>县</t>
  </si>
  <si>
    <t>企业名称/姓名</t>
  </si>
  <si>
    <t>贷款用途</t>
  </si>
  <si>
    <t>类别</t>
  </si>
  <si>
    <t>贷款金额</t>
  </si>
  <si>
    <t>利息支出</t>
  </si>
  <si>
    <t>申请贴息
金额</t>
  </si>
  <si>
    <t>分配比率（%）</t>
  </si>
  <si>
    <t>发放贴息金额</t>
  </si>
  <si>
    <t>第一季度</t>
  </si>
  <si>
    <t>第二季度</t>
  </si>
  <si>
    <t>第三季度</t>
  </si>
  <si>
    <t>第四季度</t>
  </si>
  <si>
    <t>合计</t>
  </si>
  <si>
    <t>龙岩市</t>
  </si>
  <si>
    <t>1(1)</t>
  </si>
  <si>
    <t>漳平市</t>
  </si>
  <si>
    <t>龙岩市万山木业有限公司</t>
  </si>
  <si>
    <t>生产经营周转金</t>
  </si>
  <si>
    <t>木材加工</t>
  </si>
  <si>
    <t>1(2)</t>
  </si>
  <si>
    <t>1(3)</t>
  </si>
  <si>
    <t>1(4)</t>
  </si>
  <si>
    <t>1(5)</t>
  </si>
  <si>
    <t>1(6)</t>
  </si>
  <si>
    <t>1(7)</t>
  </si>
  <si>
    <t>2(1)</t>
  </si>
  <si>
    <t>漳平瑞景木业有限公司</t>
  </si>
  <si>
    <t>2(2)</t>
  </si>
  <si>
    <t>2(3)</t>
  </si>
  <si>
    <t>2(4)</t>
  </si>
  <si>
    <t>2(5)</t>
  </si>
  <si>
    <t>2(6)</t>
  </si>
  <si>
    <t>3(1)</t>
  </si>
  <si>
    <t>漳平瑞宏家居装饰材料有限公司</t>
  </si>
  <si>
    <t>3(2)</t>
  </si>
  <si>
    <t>3(3)</t>
  </si>
  <si>
    <t>3(4)</t>
  </si>
  <si>
    <t>3(5)</t>
  </si>
  <si>
    <t>3(6)</t>
  </si>
  <si>
    <t>3(7)</t>
  </si>
  <si>
    <t>3(8)</t>
  </si>
  <si>
    <t>3(9)</t>
  </si>
  <si>
    <t>3(10)</t>
  </si>
  <si>
    <t>3(11)</t>
  </si>
  <si>
    <t>3(12)</t>
  </si>
  <si>
    <t>4(1)</t>
  </si>
  <si>
    <t>福建省漳平木村林产有限公司</t>
  </si>
  <si>
    <t>4(2)</t>
  </si>
  <si>
    <t>4(3)</t>
  </si>
  <si>
    <t>4(4)</t>
  </si>
  <si>
    <t>4(5)</t>
  </si>
  <si>
    <t>4(6)</t>
  </si>
  <si>
    <t>4(7)</t>
  </si>
  <si>
    <t>4(8)</t>
  </si>
  <si>
    <t>4(9)</t>
  </si>
  <si>
    <t>4(10)</t>
  </si>
  <si>
    <t>4(11)</t>
  </si>
  <si>
    <t>4(12)</t>
  </si>
  <si>
    <t>4(13)</t>
  </si>
  <si>
    <t>4(14)</t>
  </si>
  <si>
    <t>4(15)</t>
  </si>
  <si>
    <t>4(16)</t>
  </si>
  <si>
    <t>5(1)</t>
  </si>
  <si>
    <t>福建省漳平瑞和家居装饰有限公司</t>
  </si>
  <si>
    <t>5(2)</t>
  </si>
  <si>
    <t>漳平市美丽家园生物质能源开发有限公司</t>
  </si>
  <si>
    <t>生物质利用</t>
  </si>
  <si>
    <t>7(1)</t>
  </si>
  <si>
    <t>福建漳平市德诺林业有限公司</t>
  </si>
  <si>
    <t>7(2)</t>
  </si>
  <si>
    <t>7(3)</t>
  </si>
  <si>
    <t>7(4)</t>
  </si>
  <si>
    <t>7(5)</t>
  </si>
  <si>
    <t>7(6)</t>
  </si>
  <si>
    <t>7(7)</t>
  </si>
  <si>
    <t>7(8)</t>
  </si>
  <si>
    <t>福建微诗木智能家居有限公司</t>
  </si>
  <si>
    <t>福建龙岩市新德诺木业有限公司</t>
  </si>
  <si>
    <t>漳平德昇木业有限公司</t>
  </si>
  <si>
    <t>漳平市城口林场有限公司</t>
  </si>
  <si>
    <t>种植</t>
  </si>
  <si>
    <t>森林资源培育</t>
  </si>
  <si>
    <t>合   计</t>
  </si>
  <si>
    <t>备注：1.类别分为木材加工、生物质利用、花卉苗木种植及设施设备购置、林下经济、森林资源培育；2.类型分为国有企事业单位、规上企业、一般企业、林业新型经营主体、个人等。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</si>
</sst>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#,##0.00_);[Red]\(#,##0.0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color rgb="FFC0000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176" fontId="1" fillId="0" borderId="1" xfId="0" applyNumberFormat="1" applyFont="1" applyFill="1" applyBorder="1">
      <alignment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76" fontId="7" fillId="0" borderId="1" xfId="0" applyNumberFormat="1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177" fontId="8" fillId="0" borderId="1" xfId="1" applyNumberFormat="1" applyFont="1" applyFill="1" applyBorder="1" applyAlignment="1">
      <alignment horizontal="center" vertical="center" wrapText="1"/>
    </xf>
    <xf numFmtId="178" fontId="8" fillId="0" borderId="1" xfId="1" applyNumberFormat="1" applyFont="1" applyFill="1" applyBorder="1" applyAlignment="1">
      <alignment horizontal="center" vertical="center" wrapText="1"/>
    </xf>
    <xf numFmtId="0" fontId="8" fillId="0" borderId="6" xfId="49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6"/>
  <sheetViews>
    <sheetView tabSelected="1" workbookViewId="0">
      <pane ySplit="5" topLeftCell="A51" activePane="bottomLeft" state="frozen"/>
      <selection/>
      <selection pane="bottomLeft" activeCell="Q64" sqref="Q64"/>
    </sheetView>
  </sheetViews>
  <sheetFormatPr defaultColWidth="9" defaultRowHeight="13.5"/>
  <cols>
    <col min="1" max="1" width="4.75" style="3" customWidth="1"/>
    <col min="2" max="2" width="5.625" style="3" customWidth="1"/>
    <col min="3" max="3" width="6.375" style="3" customWidth="1"/>
    <col min="4" max="4" width="25.25" style="3" customWidth="1"/>
    <col min="5" max="5" width="7.375" style="3" customWidth="1"/>
    <col min="6" max="6" width="7.25" style="3" customWidth="1"/>
    <col min="7" max="7" width="9.125" style="3" customWidth="1"/>
    <col min="8" max="8" width="8.75" style="3" customWidth="1"/>
    <col min="9" max="9" width="8.25" style="3" customWidth="1"/>
    <col min="10" max="11" width="9" style="3" customWidth="1"/>
    <col min="12" max="12" width="7.75" style="3" customWidth="1"/>
    <col min="13" max="13" width="8.25" style="3" customWidth="1"/>
    <col min="14" max="14" width="6.75" style="3" customWidth="1"/>
    <col min="15" max="15" width="7.875" style="4" customWidth="1"/>
    <col min="16" max="16384" width="9" style="3"/>
  </cols>
  <sheetData>
    <row r="1" ht="24" customHeight="1" spans="1:15">
      <c r="A1" s="5" t="s">
        <v>0</v>
      </c>
      <c r="B1" s="6"/>
    </row>
    <row r="2" ht="26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30" customHeight="1" spans="1: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ht="15" customHeight="1" spans="1:15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/>
      <c r="J4" s="9"/>
      <c r="K4" s="9"/>
      <c r="L4" s="9"/>
      <c r="M4" s="11" t="s">
        <v>11</v>
      </c>
      <c r="N4" s="12" t="s">
        <v>12</v>
      </c>
      <c r="O4" s="13" t="s">
        <v>13</v>
      </c>
    </row>
    <row r="5" ht="38" customHeight="1" spans="1:15">
      <c r="A5" s="9"/>
      <c r="B5" s="9"/>
      <c r="C5" s="9"/>
      <c r="D5" s="9"/>
      <c r="E5" s="14"/>
      <c r="F5" s="14"/>
      <c r="G5" s="9"/>
      <c r="H5" s="9" t="s">
        <v>14</v>
      </c>
      <c r="I5" s="9" t="s">
        <v>15</v>
      </c>
      <c r="J5" s="9" t="s">
        <v>16</v>
      </c>
      <c r="K5" s="9" t="s">
        <v>17</v>
      </c>
      <c r="L5" s="9" t="s">
        <v>18</v>
      </c>
      <c r="M5" s="9"/>
      <c r="N5" s="15"/>
      <c r="O5" s="16"/>
    </row>
    <row r="6" s="1" customFormat="1" ht="24" customHeight="1" spans="1:15">
      <c r="A6" s="17" t="s">
        <v>19</v>
      </c>
      <c r="B6" s="18" t="s">
        <v>20</v>
      </c>
      <c r="C6" s="19" t="s">
        <v>21</v>
      </c>
      <c r="D6" s="20" t="s">
        <v>22</v>
      </c>
      <c r="E6" s="20" t="s">
        <v>23</v>
      </c>
      <c r="F6" s="20" t="s">
        <v>24</v>
      </c>
      <c r="G6" s="21">
        <v>1480</v>
      </c>
      <c r="H6" s="22">
        <v>14.4</v>
      </c>
      <c r="I6" s="22">
        <v>10.76</v>
      </c>
      <c r="J6" s="22"/>
      <c r="K6" s="22"/>
      <c r="L6" s="23">
        <f t="shared" ref="L6:L39" si="0">SUM(H6:K6)</f>
        <v>25.16</v>
      </c>
      <c r="M6" s="22">
        <v>6.17</v>
      </c>
      <c r="N6" s="24">
        <v>0.145</v>
      </c>
      <c r="O6" s="25">
        <v>0.89</v>
      </c>
    </row>
    <row r="7" s="2" customFormat="1" ht="24" customHeight="1" spans="1:15">
      <c r="A7" s="26" t="s">
        <v>19</v>
      </c>
      <c r="B7" s="27" t="s">
        <v>25</v>
      </c>
      <c r="C7" s="28" t="s">
        <v>21</v>
      </c>
      <c r="D7" s="29" t="s">
        <v>22</v>
      </c>
      <c r="E7" s="29" t="s">
        <v>23</v>
      </c>
      <c r="F7" s="29" t="s">
        <v>24</v>
      </c>
      <c r="G7" s="30">
        <v>300</v>
      </c>
      <c r="H7" s="31">
        <v>2.39</v>
      </c>
      <c r="I7" s="31">
        <v>1.79</v>
      </c>
      <c r="J7" s="31"/>
      <c r="K7" s="31"/>
      <c r="L7" s="32">
        <f t="shared" si="0"/>
        <v>4.18</v>
      </c>
      <c r="M7" s="31">
        <v>1.25</v>
      </c>
      <c r="N7" s="24">
        <v>0.145</v>
      </c>
      <c r="O7" s="25">
        <v>0.18</v>
      </c>
    </row>
    <row r="8" s="2" customFormat="1" ht="24" customHeight="1" spans="1:15">
      <c r="A8" s="26" t="s">
        <v>19</v>
      </c>
      <c r="B8" s="27" t="s">
        <v>26</v>
      </c>
      <c r="C8" s="28" t="s">
        <v>21</v>
      </c>
      <c r="D8" s="29" t="s">
        <v>22</v>
      </c>
      <c r="E8" s="29" t="s">
        <v>23</v>
      </c>
      <c r="F8" s="29" t="s">
        <v>24</v>
      </c>
      <c r="G8" s="30">
        <v>1780</v>
      </c>
      <c r="H8" s="31"/>
      <c r="I8" s="31">
        <v>4.44</v>
      </c>
      <c r="J8" s="31">
        <v>17.01</v>
      </c>
      <c r="K8" s="31">
        <v>16.83</v>
      </c>
      <c r="L8" s="32">
        <f t="shared" si="0"/>
        <v>38.28</v>
      </c>
      <c r="M8" s="31">
        <v>10.38</v>
      </c>
      <c r="N8" s="24">
        <v>0.145</v>
      </c>
      <c r="O8" s="25">
        <v>1.51</v>
      </c>
    </row>
    <row r="9" s="2" customFormat="1" ht="24" customHeight="1" spans="1:15">
      <c r="A9" s="26" t="s">
        <v>19</v>
      </c>
      <c r="B9" s="27" t="s">
        <v>27</v>
      </c>
      <c r="C9" s="28" t="s">
        <v>21</v>
      </c>
      <c r="D9" s="29" t="s">
        <v>22</v>
      </c>
      <c r="E9" s="29" t="s">
        <v>23</v>
      </c>
      <c r="F9" s="29" t="s">
        <v>24</v>
      </c>
      <c r="G9" s="33">
        <v>330</v>
      </c>
      <c r="H9" s="32">
        <v>3.09</v>
      </c>
      <c r="I9" s="32">
        <v>0.44</v>
      </c>
      <c r="J9" s="32"/>
      <c r="K9" s="32"/>
      <c r="L9" s="32">
        <f t="shared" si="0"/>
        <v>3.53</v>
      </c>
      <c r="M9" s="32">
        <v>0.83</v>
      </c>
      <c r="N9" s="24">
        <v>0.145</v>
      </c>
      <c r="O9" s="25">
        <v>0.12</v>
      </c>
    </row>
    <row r="10" s="2" customFormat="1" ht="24" customHeight="1" spans="1:15">
      <c r="A10" s="26" t="s">
        <v>19</v>
      </c>
      <c r="B10" s="27" t="s">
        <v>28</v>
      </c>
      <c r="C10" s="28" t="s">
        <v>21</v>
      </c>
      <c r="D10" s="29" t="s">
        <v>22</v>
      </c>
      <c r="E10" s="29" t="s">
        <v>23</v>
      </c>
      <c r="F10" s="29" t="s">
        <v>24</v>
      </c>
      <c r="G10" s="33">
        <v>360</v>
      </c>
      <c r="H10" s="32">
        <v>3.37</v>
      </c>
      <c r="I10" s="32">
        <v>0.48</v>
      </c>
      <c r="J10" s="32"/>
      <c r="K10" s="32"/>
      <c r="L10" s="32">
        <f t="shared" si="0"/>
        <v>3.85</v>
      </c>
      <c r="M10" s="32">
        <v>0.9</v>
      </c>
      <c r="N10" s="24">
        <v>0.145</v>
      </c>
      <c r="O10" s="25">
        <v>0.13</v>
      </c>
    </row>
    <row r="11" s="2" customFormat="1" ht="24" customHeight="1" spans="1:15">
      <c r="A11" s="26" t="s">
        <v>19</v>
      </c>
      <c r="B11" s="27" t="s">
        <v>29</v>
      </c>
      <c r="C11" s="28" t="s">
        <v>21</v>
      </c>
      <c r="D11" s="29" t="s">
        <v>22</v>
      </c>
      <c r="E11" s="29" t="s">
        <v>23</v>
      </c>
      <c r="F11" s="29" t="s">
        <v>24</v>
      </c>
      <c r="G11" s="33">
        <v>310</v>
      </c>
      <c r="H11" s="32">
        <v>2.9</v>
      </c>
      <c r="I11" s="32">
        <v>0.41</v>
      </c>
      <c r="J11" s="32"/>
      <c r="K11" s="32"/>
      <c r="L11" s="32">
        <f t="shared" si="0"/>
        <v>3.31</v>
      </c>
      <c r="M11" s="32">
        <v>0.77</v>
      </c>
      <c r="N11" s="24">
        <v>0.145</v>
      </c>
      <c r="O11" s="25">
        <v>0.11</v>
      </c>
    </row>
    <row r="12" s="2" customFormat="1" ht="24" customHeight="1" spans="1:15">
      <c r="A12" s="26" t="s">
        <v>19</v>
      </c>
      <c r="B12" s="27" t="s">
        <v>30</v>
      </c>
      <c r="C12" s="28" t="s">
        <v>21</v>
      </c>
      <c r="D12" s="29" t="s">
        <v>22</v>
      </c>
      <c r="E12" s="29" t="s">
        <v>23</v>
      </c>
      <c r="F12" s="29" t="s">
        <v>24</v>
      </c>
      <c r="G12" s="33">
        <v>1000</v>
      </c>
      <c r="H12" s="32"/>
      <c r="I12" s="32">
        <v>8.4</v>
      </c>
      <c r="J12" s="32">
        <v>9.2</v>
      </c>
      <c r="K12" s="32">
        <v>9.1</v>
      </c>
      <c r="L12" s="32">
        <f t="shared" si="0"/>
        <v>26.7</v>
      </c>
      <c r="M12" s="32">
        <v>7.5</v>
      </c>
      <c r="N12" s="24">
        <v>0.145</v>
      </c>
      <c r="O12" s="25">
        <v>1.09</v>
      </c>
    </row>
    <row r="13" s="2" customFormat="1" ht="24" customHeight="1" spans="1:15">
      <c r="A13" s="26" t="s">
        <v>19</v>
      </c>
      <c r="B13" s="27" t="s">
        <v>31</v>
      </c>
      <c r="C13" s="29" t="s">
        <v>21</v>
      </c>
      <c r="D13" s="29" t="s">
        <v>32</v>
      </c>
      <c r="E13" s="29" t="s">
        <v>23</v>
      </c>
      <c r="F13" s="29" t="s">
        <v>24</v>
      </c>
      <c r="G13" s="30">
        <v>1000</v>
      </c>
      <c r="H13" s="31">
        <v>6.57</v>
      </c>
      <c r="I13" s="31">
        <v>5.06</v>
      </c>
      <c r="J13" s="31"/>
      <c r="K13" s="31"/>
      <c r="L13" s="32">
        <f t="shared" si="0"/>
        <v>11.63</v>
      </c>
      <c r="M13" s="31">
        <v>4.17</v>
      </c>
      <c r="N13" s="24">
        <v>0.145</v>
      </c>
      <c r="O13" s="25">
        <v>0.6</v>
      </c>
    </row>
    <row r="14" s="2" customFormat="1" ht="24" customHeight="1" spans="1:15">
      <c r="A14" s="34" t="s">
        <v>19</v>
      </c>
      <c r="B14" s="27" t="s">
        <v>33</v>
      </c>
      <c r="C14" s="29" t="s">
        <v>21</v>
      </c>
      <c r="D14" s="29" t="s">
        <v>32</v>
      </c>
      <c r="E14" s="29" t="s">
        <v>23</v>
      </c>
      <c r="F14" s="29" t="s">
        <v>24</v>
      </c>
      <c r="G14" s="30">
        <v>950</v>
      </c>
      <c r="H14" s="31"/>
      <c r="I14" s="31">
        <v>1.58</v>
      </c>
      <c r="J14" s="31">
        <v>6.92</v>
      </c>
      <c r="K14" s="31">
        <v>6.84</v>
      </c>
      <c r="L14" s="32">
        <f t="shared" si="0"/>
        <v>15.34</v>
      </c>
      <c r="M14" s="31">
        <v>5.54</v>
      </c>
      <c r="N14" s="24">
        <v>0.145</v>
      </c>
      <c r="O14" s="25">
        <v>0.8</v>
      </c>
    </row>
    <row r="15" s="2" customFormat="1" ht="24" customHeight="1" spans="1:15">
      <c r="A15" s="34" t="s">
        <v>19</v>
      </c>
      <c r="B15" s="27" t="s">
        <v>34</v>
      </c>
      <c r="C15" s="29" t="s">
        <v>21</v>
      </c>
      <c r="D15" s="29" t="s">
        <v>32</v>
      </c>
      <c r="E15" s="29" t="s">
        <v>23</v>
      </c>
      <c r="F15" s="29" t="s">
        <v>24</v>
      </c>
      <c r="G15" s="30">
        <v>995.8</v>
      </c>
      <c r="H15" s="31">
        <f>(20752.78+20752.78+19413.89)/10000</f>
        <v>6.091945</v>
      </c>
      <c r="I15" s="31">
        <f>(20752.78+19996.31+20649.01)/10000</f>
        <v>6.13981</v>
      </c>
      <c r="J15" s="31">
        <f>(19982.92+20649.01+20649.01)/10000</f>
        <v>6.128094</v>
      </c>
      <c r="K15" s="31">
        <f>(19982.92+17959.89+16995)/10000</f>
        <v>5.493781</v>
      </c>
      <c r="L15" s="32">
        <f t="shared" si="0"/>
        <v>23.85363</v>
      </c>
      <c r="M15" s="31">
        <v>9.96</v>
      </c>
      <c r="N15" s="24">
        <v>0.145</v>
      </c>
      <c r="O15" s="25">
        <v>1.44</v>
      </c>
    </row>
    <row r="16" s="2" customFormat="1" ht="24" customHeight="1" spans="1:15">
      <c r="A16" s="34" t="s">
        <v>19</v>
      </c>
      <c r="B16" s="27" t="s">
        <v>35</v>
      </c>
      <c r="C16" s="29" t="s">
        <v>21</v>
      </c>
      <c r="D16" s="29" t="s">
        <v>32</v>
      </c>
      <c r="E16" s="29" t="s">
        <v>23</v>
      </c>
      <c r="F16" s="29" t="s">
        <v>24</v>
      </c>
      <c r="G16" s="30">
        <v>590</v>
      </c>
      <c r="H16" s="31">
        <f>(8432.08+11644.31)/10000</f>
        <v>2.007639</v>
      </c>
      <c r="I16" s="31">
        <f>(12447.36+12045.83+12447.36)/10000</f>
        <v>3.694055</v>
      </c>
      <c r="J16" s="31">
        <f>(12045.83+12447.36+12447.36)/10000</f>
        <v>3.694055</v>
      </c>
      <c r="K16" s="31">
        <f>(12045.83+12447.36+12045.83)/10000</f>
        <v>3.653902</v>
      </c>
      <c r="L16" s="32">
        <f t="shared" si="0"/>
        <v>13.049651</v>
      </c>
      <c r="M16" s="31">
        <v>5.41</v>
      </c>
      <c r="N16" s="24">
        <v>0.145</v>
      </c>
      <c r="O16" s="25">
        <v>0.78</v>
      </c>
    </row>
    <row r="17" s="2" customFormat="1" ht="24" customHeight="1" spans="1:15">
      <c r="A17" s="34" t="s">
        <v>19</v>
      </c>
      <c r="B17" s="27" t="s">
        <v>36</v>
      </c>
      <c r="C17" s="29" t="s">
        <v>21</v>
      </c>
      <c r="D17" s="29" t="s">
        <v>32</v>
      </c>
      <c r="E17" s="29" t="s">
        <v>23</v>
      </c>
      <c r="F17" s="29" t="s">
        <v>24</v>
      </c>
      <c r="G17" s="30">
        <v>410</v>
      </c>
      <c r="H17" s="31">
        <f>7533.75/10000</f>
        <v>0.753375</v>
      </c>
      <c r="I17" s="31">
        <f>(8649.86+8370.83+8649.86)/10000</f>
        <v>2.567055</v>
      </c>
      <c r="J17" s="31">
        <f>(8370.83+8649.86+8649.86)/10000</f>
        <v>2.567055</v>
      </c>
      <c r="K17" s="31">
        <f>(8370.83+8649.86+8370.83)/10000</f>
        <v>2.539152</v>
      </c>
      <c r="L17" s="32">
        <f t="shared" si="0"/>
        <v>8.426637</v>
      </c>
      <c r="M17" s="31">
        <v>3.42</v>
      </c>
      <c r="N17" s="24">
        <v>0.145</v>
      </c>
      <c r="O17" s="25">
        <v>0.5</v>
      </c>
    </row>
    <row r="18" s="2" customFormat="1" ht="24" customHeight="1" spans="1:15">
      <c r="A18" s="34" t="s">
        <v>19</v>
      </c>
      <c r="B18" s="27" t="s">
        <v>37</v>
      </c>
      <c r="C18" s="29" t="s">
        <v>21</v>
      </c>
      <c r="D18" s="29" t="s">
        <v>32</v>
      </c>
      <c r="E18" s="29" t="s">
        <v>23</v>
      </c>
      <c r="F18" s="29" t="s">
        <v>24</v>
      </c>
      <c r="G18" s="30">
        <v>980</v>
      </c>
      <c r="H18" s="31">
        <f>11338.06/10000</f>
        <v>1.133806</v>
      </c>
      <c r="I18" s="31">
        <f>(20675.28+20008.33+20675.28)/10000</f>
        <v>6.135889</v>
      </c>
      <c r="J18" s="31">
        <f>(20008.33+20675.28+20675.28)/10000</f>
        <v>6.135889</v>
      </c>
      <c r="K18" s="31">
        <f>(20008.33+20675.28+20008.33)/10000</f>
        <v>6.069194</v>
      </c>
      <c r="L18" s="32">
        <f t="shared" si="0"/>
        <v>19.474778</v>
      </c>
      <c r="M18" s="31">
        <v>8.17</v>
      </c>
      <c r="N18" s="24">
        <v>0.145</v>
      </c>
      <c r="O18" s="25">
        <v>1.18</v>
      </c>
    </row>
    <row r="19" s="2" customFormat="1" ht="24" customHeight="1" spans="1:15">
      <c r="A19" s="34" t="s">
        <v>19</v>
      </c>
      <c r="B19" s="27" t="s">
        <v>38</v>
      </c>
      <c r="C19" s="29" t="s">
        <v>21</v>
      </c>
      <c r="D19" s="29" t="s">
        <v>39</v>
      </c>
      <c r="E19" s="29" t="s">
        <v>23</v>
      </c>
      <c r="F19" s="29" t="s">
        <v>24</v>
      </c>
      <c r="G19" s="30">
        <v>1000</v>
      </c>
      <c r="H19" s="32">
        <f>(20666.67+20666.67+19333.33)/10000</f>
        <v>6.066667</v>
      </c>
      <c r="I19" s="32">
        <f>(20630+19900+20563.33)/10000</f>
        <v>6.109333</v>
      </c>
      <c r="J19" s="32">
        <f>(19900+20563.33+20563.33)/10000</f>
        <v>6.102666</v>
      </c>
      <c r="K19" s="32">
        <f>(19560.83+19607.5+18975)/10000</f>
        <v>5.814333</v>
      </c>
      <c r="L19" s="32">
        <f t="shared" si="0"/>
        <v>24.092999</v>
      </c>
      <c r="M19" s="32">
        <v>10</v>
      </c>
      <c r="N19" s="24">
        <v>0.145</v>
      </c>
      <c r="O19" s="25">
        <v>1.45</v>
      </c>
    </row>
    <row r="20" s="2" customFormat="1" ht="24" customHeight="1" spans="1:15">
      <c r="A20" s="34" t="s">
        <v>19</v>
      </c>
      <c r="B20" s="27" t="s">
        <v>40</v>
      </c>
      <c r="C20" s="29" t="s">
        <v>21</v>
      </c>
      <c r="D20" s="29" t="s">
        <v>39</v>
      </c>
      <c r="E20" s="29" t="s">
        <v>23</v>
      </c>
      <c r="F20" s="29" t="s">
        <v>24</v>
      </c>
      <c r="G20" s="30">
        <v>1300</v>
      </c>
      <c r="H20" s="32">
        <f>(36941.67+36941.67+34558.33)/10000</f>
        <v>10.844167</v>
      </c>
      <c r="I20" s="32">
        <f>(36941.67+35750+36941.67)/10000</f>
        <v>10.963334</v>
      </c>
      <c r="J20" s="32">
        <f>(35750+36941.67+36941.67)/10000</f>
        <v>10.963334</v>
      </c>
      <c r="K20" s="32">
        <f>(35750+36941.67+17875)/10000</f>
        <v>9.056667</v>
      </c>
      <c r="L20" s="32">
        <f t="shared" si="0"/>
        <v>41.827502</v>
      </c>
      <c r="M20" s="32">
        <v>11.92</v>
      </c>
      <c r="N20" s="24">
        <v>0.145</v>
      </c>
      <c r="O20" s="25">
        <v>1.73</v>
      </c>
    </row>
    <row r="21" s="2" customFormat="1" ht="24" customHeight="1" spans="1:15">
      <c r="A21" s="34" t="s">
        <v>19</v>
      </c>
      <c r="B21" s="27" t="s">
        <v>41</v>
      </c>
      <c r="C21" s="29" t="s">
        <v>21</v>
      </c>
      <c r="D21" s="29" t="s">
        <v>39</v>
      </c>
      <c r="E21" s="29" t="s">
        <v>23</v>
      </c>
      <c r="F21" s="29" t="s">
        <v>24</v>
      </c>
      <c r="G21" s="30">
        <v>1740</v>
      </c>
      <c r="H21" s="31">
        <f>(49445+49445+46255)/10000</f>
        <v>14.5145</v>
      </c>
      <c r="I21" s="31">
        <f>(49445+47850+49445)/10000</f>
        <v>14.674</v>
      </c>
      <c r="J21" s="31">
        <f>(47850+49445+49445)/10000</f>
        <v>14.674</v>
      </c>
      <c r="K21" s="31">
        <f>(47850+49445+23925)/10000</f>
        <v>12.122</v>
      </c>
      <c r="L21" s="32">
        <f t="shared" si="0"/>
        <v>55.9845</v>
      </c>
      <c r="M21" s="31">
        <v>15.95</v>
      </c>
      <c r="N21" s="24">
        <v>0.145</v>
      </c>
      <c r="O21" s="25">
        <v>2.31</v>
      </c>
    </row>
    <row r="22" s="2" customFormat="1" ht="24" customHeight="1" spans="1:15">
      <c r="A22" s="34" t="s">
        <v>19</v>
      </c>
      <c r="B22" s="27" t="s">
        <v>42</v>
      </c>
      <c r="C22" s="29" t="s">
        <v>21</v>
      </c>
      <c r="D22" s="29" t="s">
        <v>39</v>
      </c>
      <c r="E22" s="29" t="s">
        <v>23</v>
      </c>
      <c r="F22" s="29" t="s">
        <v>24</v>
      </c>
      <c r="G22" s="30">
        <v>180</v>
      </c>
      <c r="H22" s="31">
        <f>(4290+4785)/10000</f>
        <v>0.9075</v>
      </c>
      <c r="I22" s="31">
        <f>(5115+4950+5115)/10000</f>
        <v>1.518</v>
      </c>
      <c r="J22" s="31">
        <f>(4950+5115+5115)/10000</f>
        <v>1.518</v>
      </c>
      <c r="K22" s="31">
        <f>(4950+5115+4950)/10000</f>
        <v>1.5015</v>
      </c>
      <c r="L22" s="32">
        <f t="shared" si="0"/>
        <v>5.445</v>
      </c>
      <c r="M22" s="31">
        <v>1.65</v>
      </c>
      <c r="N22" s="24">
        <v>0.145</v>
      </c>
      <c r="O22" s="25">
        <v>0.24</v>
      </c>
    </row>
    <row r="23" s="2" customFormat="1" ht="24" customHeight="1" spans="1:15">
      <c r="A23" s="34" t="s">
        <v>19</v>
      </c>
      <c r="B23" s="27" t="s">
        <v>43</v>
      </c>
      <c r="C23" s="29" t="s">
        <v>21</v>
      </c>
      <c r="D23" s="29" t="s">
        <v>39</v>
      </c>
      <c r="E23" s="29" t="s">
        <v>23</v>
      </c>
      <c r="F23" s="29" t="s">
        <v>24</v>
      </c>
      <c r="G23" s="30">
        <v>380</v>
      </c>
      <c r="H23" s="31">
        <f>(9056.67+10101.67)/10000</f>
        <v>1.915834</v>
      </c>
      <c r="I23" s="31">
        <f>(10798.33+10450+10798.33)/10000</f>
        <v>3.204666</v>
      </c>
      <c r="J23" s="31">
        <f>(10450+10798.33+10798.33)/10000</f>
        <v>3.204666</v>
      </c>
      <c r="K23" s="31">
        <f>(10450+10798.33+10450)/10000</f>
        <v>3.169833</v>
      </c>
      <c r="L23" s="32">
        <f t="shared" si="0"/>
        <v>11.494999</v>
      </c>
      <c r="M23" s="31">
        <v>3.48</v>
      </c>
      <c r="N23" s="24">
        <v>0.145</v>
      </c>
      <c r="O23" s="25">
        <v>0.5</v>
      </c>
    </row>
    <row r="24" s="2" customFormat="1" ht="24" customHeight="1" spans="1:15">
      <c r="A24" s="34" t="s">
        <v>19</v>
      </c>
      <c r="B24" s="27" t="s">
        <v>44</v>
      </c>
      <c r="C24" s="29" t="s">
        <v>21</v>
      </c>
      <c r="D24" s="29" t="s">
        <v>39</v>
      </c>
      <c r="E24" s="29" t="s">
        <v>23</v>
      </c>
      <c r="F24" s="29" t="s">
        <v>24</v>
      </c>
      <c r="G24" s="30">
        <v>1000</v>
      </c>
      <c r="H24" s="31"/>
      <c r="I24" s="31">
        <f>(19250+28416.67)/10000</f>
        <v>4.766667</v>
      </c>
      <c r="J24" s="31">
        <f>(27500+28416.67+28416.67)/10000</f>
        <v>8.433334</v>
      </c>
      <c r="K24" s="31">
        <f>(27500+28416.67+27500)/10000</f>
        <v>8.341667</v>
      </c>
      <c r="L24" s="32">
        <f t="shared" si="0"/>
        <v>21.541668</v>
      </c>
      <c r="M24" s="31">
        <v>6.67</v>
      </c>
      <c r="N24" s="24">
        <v>0.145</v>
      </c>
      <c r="O24" s="25">
        <v>0.97</v>
      </c>
    </row>
    <row r="25" s="2" customFormat="1" ht="24" customHeight="1" spans="1:15">
      <c r="A25" s="34" t="s">
        <v>19</v>
      </c>
      <c r="B25" s="27" t="s">
        <v>45</v>
      </c>
      <c r="C25" s="29" t="s">
        <v>21</v>
      </c>
      <c r="D25" s="29" t="s">
        <v>39</v>
      </c>
      <c r="E25" s="29" t="s">
        <v>23</v>
      </c>
      <c r="F25" s="29" t="s">
        <v>24</v>
      </c>
      <c r="G25" s="30">
        <v>1080</v>
      </c>
      <c r="H25" s="31">
        <f>(19800+30690+28710)/10000</f>
        <v>7.92</v>
      </c>
      <c r="I25" s="31">
        <f>(30690+29700+30690+5940)/10000</f>
        <v>9.702</v>
      </c>
      <c r="J25" s="31"/>
      <c r="K25" s="31"/>
      <c r="L25" s="32">
        <f t="shared" si="0"/>
        <v>17.622</v>
      </c>
      <c r="M25" s="31">
        <v>5.4</v>
      </c>
      <c r="N25" s="24">
        <v>0.145</v>
      </c>
      <c r="O25" s="25">
        <v>0.78</v>
      </c>
    </row>
    <row r="26" s="2" customFormat="1" ht="24" customHeight="1" spans="1:15">
      <c r="A26" s="34" t="s">
        <v>19</v>
      </c>
      <c r="B26" s="27" t="s">
        <v>46</v>
      </c>
      <c r="C26" s="29" t="s">
        <v>21</v>
      </c>
      <c r="D26" s="29" t="s">
        <v>39</v>
      </c>
      <c r="E26" s="29" t="s">
        <v>23</v>
      </c>
      <c r="F26" s="29" t="s">
        <v>24</v>
      </c>
      <c r="G26" s="30">
        <v>650</v>
      </c>
      <c r="H26" s="31"/>
      <c r="I26" s="31"/>
      <c r="J26" s="31"/>
      <c r="K26" s="31">
        <f>(15600+17333.33)/10000</f>
        <v>3.293333</v>
      </c>
      <c r="L26" s="32">
        <f t="shared" si="0"/>
        <v>3.293333</v>
      </c>
      <c r="M26" s="31">
        <v>1.08</v>
      </c>
      <c r="N26" s="24">
        <v>0.145</v>
      </c>
      <c r="O26" s="25">
        <v>0.16</v>
      </c>
    </row>
    <row r="27" s="2" customFormat="1" ht="24" customHeight="1" spans="1:15">
      <c r="A27" s="34" t="s">
        <v>19</v>
      </c>
      <c r="B27" s="27" t="s">
        <v>47</v>
      </c>
      <c r="C27" s="29" t="s">
        <v>21</v>
      </c>
      <c r="D27" s="29" t="s">
        <v>39</v>
      </c>
      <c r="E27" s="29" t="s">
        <v>23</v>
      </c>
      <c r="F27" s="29" t="s">
        <v>24</v>
      </c>
      <c r="G27" s="30">
        <v>900</v>
      </c>
      <c r="H27" s="31"/>
      <c r="I27" s="31"/>
      <c r="J27" s="31"/>
      <c r="K27" s="31">
        <f>(4275+21375)/10000</f>
        <v>2.565</v>
      </c>
      <c r="L27" s="32">
        <f t="shared" si="0"/>
        <v>2.565</v>
      </c>
      <c r="M27" s="31">
        <v>1.5</v>
      </c>
      <c r="N27" s="24">
        <v>0.145</v>
      </c>
      <c r="O27" s="25">
        <v>0.22</v>
      </c>
    </row>
    <row r="28" s="2" customFormat="1" ht="24" customHeight="1" spans="1:15">
      <c r="A28" s="34" t="s">
        <v>19</v>
      </c>
      <c r="B28" s="27" t="s">
        <v>48</v>
      </c>
      <c r="C28" s="29" t="s">
        <v>21</v>
      </c>
      <c r="D28" s="29" t="s">
        <v>39</v>
      </c>
      <c r="E28" s="29" t="s">
        <v>23</v>
      </c>
      <c r="F28" s="29" t="s">
        <v>24</v>
      </c>
      <c r="G28" s="30">
        <v>345</v>
      </c>
      <c r="H28" s="31"/>
      <c r="I28" s="31"/>
      <c r="J28" s="31"/>
      <c r="K28" s="31">
        <f>3004.38/10000</f>
        <v>0.300438</v>
      </c>
      <c r="L28" s="32">
        <f t="shared" si="0"/>
        <v>0.300438</v>
      </c>
      <c r="M28" s="31">
        <v>0.29</v>
      </c>
      <c r="N28" s="24">
        <v>0.145</v>
      </c>
      <c r="O28" s="25">
        <v>0.04</v>
      </c>
    </row>
    <row r="29" s="2" customFormat="1" ht="24" customHeight="1" spans="1:15">
      <c r="A29" s="34" t="s">
        <v>19</v>
      </c>
      <c r="B29" s="27" t="s">
        <v>49</v>
      </c>
      <c r="C29" s="29" t="s">
        <v>21</v>
      </c>
      <c r="D29" s="29" t="s">
        <v>39</v>
      </c>
      <c r="E29" s="29" t="s">
        <v>23</v>
      </c>
      <c r="F29" s="29" t="s">
        <v>24</v>
      </c>
      <c r="G29" s="30">
        <v>1300</v>
      </c>
      <c r="H29" s="31"/>
      <c r="I29" s="31"/>
      <c r="J29" s="31"/>
      <c r="K29" s="31">
        <f>15437.5/10000</f>
        <v>1.54375</v>
      </c>
      <c r="L29" s="32">
        <f t="shared" si="0"/>
        <v>1.54375</v>
      </c>
      <c r="M29" s="31">
        <v>1.08</v>
      </c>
      <c r="N29" s="24">
        <v>0.145</v>
      </c>
      <c r="O29" s="25">
        <v>0.16</v>
      </c>
    </row>
    <row r="30" s="2" customFormat="1" ht="24" customHeight="1" spans="1:15">
      <c r="A30" s="34" t="s">
        <v>19</v>
      </c>
      <c r="B30" s="27" t="s">
        <v>50</v>
      </c>
      <c r="C30" s="29" t="s">
        <v>21</v>
      </c>
      <c r="D30" s="29" t="s">
        <v>39</v>
      </c>
      <c r="E30" s="29" t="s">
        <v>23</v>
      </c>
      <c r="F30" s="29" t="s">
        <v>24</v>
      </c>
      <c r="G30" s="30">
        <v>1700</v>
      </c>
      <c r="H30" s="31"/>
      <c r="I30" s="31"/>
      <c r="J30" s="31"/>
      <c r="K30" s="31">
        <f>20187.5/10000</f>
        <v>2.01875</v>
      </c>
      <c r="L30" s="32">
        <f t="shared" si="0"/>
        <v>2.01875</v>
      </c>
      <c r="M30" s="31">
        <v>1.42</v>
      </c>
      <c r="N30" s="24">
        <v>0.145</v>
      </c>
      <c r="O30" s="25">
        <v>0.21</v>
      </c>
    </row>
    <row r="31" s="2" customFormat="1" ht="24" customHeight="1" spans="1:15">
      <c r="A31" s="34" t="s">
        <v>19</v>
      </c>
      <c r="B31" s="27" t="s">
        <v>51</v>
      </c>
      <c r="C31" s="29" t="s">
        <v>21</v>
      </c>
      <c r="D31" s="29" t="s">
        <v>52</v>
      </c>
      <c r="E31" s="29" t="s">
        <v>23</v>
      </c>
      <c r="F31" s="29" t="s">
        <v>24</v>
      </c>
      <c r="G31" s="30">
        <v>1000</v>
      </c>
      <c r="H31" s="31">
        <v>3.99</v>
      </c>
      <c r="I31" s="31">
        <f>(28158.33+27250+28158.33)/10000</f>
        <v>8.356666</v>
      </c>
      <c r="J31" s="31">
        <f>(27250+28158.33+28158.33)/10000</f>
        <v>8.356666</v>
      </c>
      <c r="K31" s="31">
        <f>(27250+28158.33+5450)/10000</f>
        <v>6.085833</v>
      </c>
      <c r="L31" s="32">
        <f t="shared" si="0"/>
        <v>26.789165</v>
      </c>
      <c r="M31" s="31">
        <v>8.33</v>
      </c>
      <c r="N31" s="24">
        <v>0.145</v>
      </c>
      <c r="O31" s="25">
        <v>1.21</v>
      </c>
    </row>
    <row r="32" s="2" customFormat="1" ht="24" customHeight="1" spans="1:15">
      <c r="A32" s="34" t="s">
        <v>19</v>
      </c>
      <c r="B32" s="27" t="s">
        <v>53</v>
      </c>
      <c r="C32" s="29" t="s">
        <v>21</v>
      </c>
      <c r="D32" s="29" t="s">
        <v>52</v>
      </c>
      <c r="E32" s="29" t="s">
        <v>23</v>
      </c>
      <c r="F32" s="29" t="s">
        <v>24</v>
      </c>
      <c r="G32" s="30">
        <v>1000</v>
      </c>
      <c r="H32" s="31"/>
      <c r="I32" s="31">
        <f>(26250+26250+27125)/10000</f>
        <v>7.9625</v>
      </c>
      <c r="J32" s="31">
        <f t="shared" ref="J32:J34" si="1">(26250+27125+27125)/10000</f>
        <v>8.05</v>
      </c>
      <c r="K32" s="31">
        <f>(26250+27125+5250)/10000</f>
        <v>5.8625</v>
      </c>
      <c r="L32" s="32">
        <f t="shared" si="0"/>
        <v>21.875</v>
      </c>
      <c r="M32" s="31">
        <v>6.67</v>
      </c>
      <c r="N32" s="24">
        <v>0.145</v>
      </c>
      <c r="O32" s="25">
        <v>0.97</v>
      </c>
    </row>
    <row r="33" s="2" customFormat="1" ht="24" customHeight="1" spans="1:15">
      <c r="A33" s="34" t="s">
        <v>19</v>
      </c>
      <c r="B33" s="27" t="s">
        <v>54</v>
      </c>
      <c r="C33" s="29" t="s">
        <v>21</v>
      </c>
      <c r="D33" s="29" t="s">
        <v>52</v>
      </c>
      <c r="E33" s="29" t="s">
        <v>23</v>
      </c>
      <c r="F33" s="29" t="s">
        <v>24</v>
      </c>
      <c r="G33" s="30">
        <v>1000</v>
      </c>
      <c r="H33" s="35"/>
      <c r="I33" s="31">
        <f>(4375+26250+27125)/10000</f>
        <v>5.775</v>
      </c>
      <c r="J33" s="31">
        <f t="shared" si="1"/>
        <v>8.05</v>
      </c>
      <c r="K33" s="31">
        <f>(26250+27125+5250)/10000</f>
        <v>5.8625</v>
      </c>
      <c r="L33" s="32">
        <f t="shared" si="0"/>
        <v>19.6875</v>
      </c>
      <c r="M33" s="31">
        <v>6.67</v>
      </c>
      <c r="N33" s="24">
        <v>0.145</v>
      </c>
      <c r="O33" s="25">
        <v>0.97</v>
      </c>
    </row>
    <row r="34" s="2" customFormat="1" ht="24" customHeight="1" spans="1:15">
      <c r="A34" s="34" t="s">
        <v>19</v>
      </c>
      <c r="B34" s="27" t="s">
        <v>55</v>
      </c>
      <c r="C34" s="29" t="s">
        <v>21</v>
      </c>
      <c r="D34" s="29" t="s">
        <v>52</v>
      </c>
      <c r="E34" s="29" t="s">
        <v>23</v>
      </c>
      <c r="F34" s="29" t="s">
        <v>24</v>
      </c>
      <c r="G34" s="30">
        <v>1000</v>
      </c>
      <c r="H34" s="31"/>
      <c r="I34" s="31">
        <f>(21875+27125)/10000</f>
        <v>4.9</v>
      </c>
      <c r="J34" s="31">
        <f t="shared" si="1"/>
        <v>8.05</v>
      </c>
      <c r="K34" s="31">
        <f>(26250+27125+17500)/10000</f>
        <v>7.0875</v>
      </c>
      <c r="L34" s="32">
        <f t="shared" si="0"/>
        <v>20.0375</v>
      </c>
      <c r="M34" s="31">
        <v>6.67</v>
      </c>
      <c r="N34" s="24">
        <v>0.145</v>
      </c>
      <c r="O34" s="25">
        <v>0.97</v>
      </c>
    </row>
    <row r="35" s="2" customFormat="1" ht="24" customHeight="1" spans="1:15">
      <c r="A35" s="34" t="s">
        <v>19</v>
      </c>
      <c r="B35" s="27" t="s">
        <v>56</v>
      </c>
      <c r="C35" s="29" t="s">
        <v>21</v>
      </c>
      <c r="D35" s="29" t="s">
        <v>52</v>
      </c>
      <c r="E35" s="29" t="s">
        <v>23</v>
      </c>
      <c r="F35" s="29" t="s">
        <v>24</v>
      </c>
      <c r="G35" s="30">
        <v>900</v>
      </c>
      <c r="H35" s="31"/>
      <c r="I35" s="31"/>
      <c r="J35" s="31"/>
      <c r="K35" s="31">
        <f>(10687.5+21375)/10000</f>
        <v>3.20625</v>
      </c>
      <c r="L35" s="32">
        <f t="shared" si="0"/>
        <v>3.20625</v>
      </c>
      <c r="M35" s="31">
        <v>1.5</v>
      </c>
      <c r="N35" s="24">
        <v>0.145</v>
      </c>
      <c r="O35" s="25">
        <v>0.22</v>
      </c>
    </row>
    <row r="36" s="2" customFormat="1" ht="24" customHeight="1" spans="1:15">
      <c r="A36" s="34" t="s">
        <v>19</v>
      </c>
      <c r="B36" s="27" t="s">
        <v>57</v>
      </c>
      <c r="C36" s="29" t="s">
        <v>21</v>
      </c>
      <c r="D36" s="29" t="s">
        <v>52</v>
      </c>
      <c r="E36" s="29" t="s">
        <v>23</v>
      </c>
      <c r="F36" s="29" t="s">
        <v>24</v>
      </c>
      <c r="G36" s="30">
        <v>900</v>
      </c>
      <c r="H36" s="31"/>
      <c r="I36" s="31"/>
      <c r="J36" s="31"/>
      <c r="K36" s="31">
        <v>3.20625</v>
      </c>
      <c r="L36" s="32">
        <f t="shared" si="0"/>
        <v>3.20625</v>
      </c>
      <c r="M36" s="31">
        <v>1.5</v>
      </c>
      <c r="N36" s="24">
        <v>0.145</v>
      </c>
      <c r="O36" s="25">
        <v>0.22</v>
      </c>
    </row>
    <row r="37" s="2" customFormat="1" ht="24" customHeight="1" spans="1:15">
      <c r="A37" s="34" t="s">
        <v>19</v>
      </c>
      <c r="B37" s="27" t="s">
        <v>58</v>
      </c>
      <c r="C37" s="29" t="s">
        <v>21</v>
      </c>
      <c r="D37" s="29" t="s">
        <v>52</v>
      </c>
      <c r="E37" s="29" t="s">
        <v>23</v>
      </c>
      <c r="F37" s="29" t="s">
        <v>24</v>
      </c>
      <c r="G37" s="30">
        <v>900</v>
      </c>
      <c r="H37" s="31"/>
      <c r="I37" s="31"/>
      <c r="J37" s="31"/>
      <c r="K37" s="31">
        <f>(7125+21375)/10000</f>
        <v>2.85</v>
      </c>
      <c r="L37" s="32">
        <f t="shared" si="0"/>
        <v>2.85</v>
      </c>
      <c r="M37" s="31">
        <v>1.5</v>
      </c>
      <c r="N37" s="24">
        <v>0.145</v>
      </c>
      <c r="O37" s="25">
        <v>0.22</v>
      </c>
    </row>
    <row r="38" s="2" customFormat="1" ht="24" customHeight="1" spans="1:15">
      <c r="A38" s="34" t="s">
        <v>19</v>
      </c>
      <c r="B38" s="27" t="s">
        <v>59</v>
      </c>
      <c r="C38" s="29" t="s">
        <v>21</v>
      </c>
      <c r="D38" s="29" t="s">
        <v>52</v>
      </c>
      <c r="E38" s="29" t="s">
        <v>23</v>
      </c>
      <c r="F38" s="29" t="s">
        <v>24</v>
      </c>
      <c r="G38" s="30">
        <v>2463</v>
      </c>
      <c r="H38" s="31">
        <v>22.75</v>
      </c>
      <c r="I38" s="31">
        <v>22.68</v>
      </c>
      <c r="J38" s="31">
        <v>22.31</v>
      </c>
      <c r="K38" s="31">
        <v>14.47</v>
      </c>
      <c r="L38" s="32">
        <f t="shared" si="0"/>
        <v>82.21</v>
      </c>
      <c r="M38" s="31">
        <v>22.6</v>
      </c>
      <c r="N38" s="24">
        <v>0.145</v>
      </c>
      <c r="O38" s="36">
        <v>3.27</v>
      </c>
    </row>
    <row r="39" s="2" customFormat="1" ht="24" customHeight="1" spans="1:15">
      <c r="A39" s="34" t="s">
        <v>19</v>
      </c>
      <c r="B39" s="27" t="s">
        <v>60</v>
      </c>
      <c r="C39" s="29" t="s">
        <v>21</v>
      </c>
      <c r="D39" s="29" t="s">
        <v>52</v>
      </c>
      <c r="E39" s="29" t="s">
        <v>23</v>
      </c>
      <c r="F39" s="29" t="s">
        <v>24</v>
      </c>
      <c r="G39" s="30">
        <v>2934</v>
      </c>
      <c r="H39" s="31">
        <v>14.79</v>
      </c>
      <c r="I39" s="31">
        <v>19.16</v>
      </c>
      <c r="J39" s="31">
        <v>18.71</v>
      </c>
      <c r="K39" s="31">
        <v>12.12</v>
      </c>
      <c r="L39" s="32">
        <f t="shared" si="0"/>
        <v>64.78</v>
      </c>
      <c r="M39" s="31">
        <f>ROUND(G39*0.01/12*11,2)</f>
        <v>26.9</v>
      </c>
      <c r="N39" s="24">
        <v>0.145</v>
      </c>
      <c r="O39" s="36">
        <v>3.9</v>
      </c>
    </row>
    <row r="40" s="2" customFormat="1" ht="24" customHeight="1" spans="1:15">
      <c r="A40" s="34" t="s">
        <v>19</v>
      </c>
      <c r="B40" s="27" t="s">
        <v>61</v>
      </c>
      <c r="C40" s="29" t="s">
        <v>21</v>
      </c>
      <c r="D40" s="29" t="s">
        <v>52</v>
      </c>
      <c r="E40" s="29" t="s">
        <v>23</v>
      </c>
      <c r="F40" s="29" t="s">
        <v>24</v>
      </c>
      <c r="G40" s="30">
        <v>9000</v>
      </c>
      <c r="H40" s="31"/>
      <c r="I40" s="31"/>
      <c r="J40" s="31"/>
      <c r="K40" s="31">
        <v>20.6</v>
      </c>
      <c r="L40" s="31">
        <v>20.6</v>
      </c>
      <c r="M40" s="32">
        <v>7.5</v>
      </c>
      <c r="N40" s="24">
        <v>0.145</v>
      </c>
      <c r="O40" s="25">
        <v>1.09</v>
      </c>
    </row>
    <row r="41" s="2" customFormat="1" ht="24" customHeight="1" spans="1:15">
      <c r="A41" s="34" t="s">
        <v>19</v>
      </c>
      <c r="B41" s="27" t="s">
        <v>62</v>
      </c>
      <c r="C41" s="29" t="s">
        <v>21</v>
      </c>
      <c r="D41" s="29" t="s">
        <v>52</v>
      </c>
      <c r="E41" s="29" t="s">
        <v>23</v>
      </c>
      <c r="F41" s="29" t="s">
        <v>24</v>
      </c>
      <c r="G41" s="30">
        <v>3000</v>
      </c>
      <c r="H41" s="31"/>
      <c r="I41" s="31"/>
      <c r="J41" s="31"/>
      <c r="K41" s="31">
        <v>3.08</v>
      </c>
      <c r="L41" s="31">
        <v>3.08</v>
      </c>
      <c r="M41" s="32">
        <v>2.5</v>
      </c>
      <c r="N41" s="24">
        <v>0.145</v>
      </c>
      <c r="O41" s="25">
        <v>0.36</v>
      </c>
    </row>
    <row r="42" s="2" customFormat="1" ht="24" customHeight="1" spans="1:15">
      <c r="A42" s="37" t="s">
        <v>19</v>
      </c>
      <c r="B42" s="27" t="s">
        <v>63</v>
      </c>
      <c r="C42" s="20" t="s">
        <v>21</v>
      </c>
      <c r="D42" s="29" t="s">
        <v>52</v>
      </c>
      <c r="E42" s="29" t="s">
        <v>23</v>
      </c>
      <c r="F42" s="29" t="s">
        <v>24</v>
      </c>
      <c r="G42" s="21">
        <v>975</v>
      </c>
      <c r="H42" s="22">
        <f>(24111.11+24111.11+22536.11)/10000</f>
        <v>7.075833</v>
      </c>
      <c r="I42" s="22">
        <v>6.97</v>
      </c>
      <c r="J42" s="22">
        <v>6.97</v>
      </c>
      <c r="K42" s="22">
        <v>6.72</v>
      </c>
      <c r="L42" s="23">
        <f t="shared" ref="L42:L63" si="2">SUM(H42:K42)</f>
        <v>27.735833</v>
      </c>
      <c r="M42" s="22">
        <v>9.75</v>
      </c>
      <c r="N42" s="24">
        <v>0.145</v>
      </c>
      <c r="O42" s="25">
        <v>1.41</v>
      </c>
    </row>
    <row r="43" s="2" customFormat="1" ht="24" customHeight="1" spans="1:15">
      <c r="A43" s="37" t="s">
        <v>19</v>
      </c>
      <c r="B43" s="27" t="s">
        <v>64</v>
      </c>
      <c r="C43" s="20" t="s">
        <v>21</v>
      </c>
      <c r="D43" s="29" t="s">
        <v>52</v>
      </c>
      <c r="E43" s="29" t="s">
        <v>23</v>
      </c>
      <c r="F43" s="29" t="s">
        <v>24</v>
      </c>
      <c r="G43" s="33">
        <v>100</v>
      </c>
      <c r="H43" s="34">
        <v>0.93</v>
      </c>
      <c r="I43" s="34">
        <v>0.88</v>
      </c>
      <c r="J43" s="34"/>
      <c r="K43" s="34"/>
      <c r="L43" s="32">
        <f t="shared" si="2"/>
        <v>1.81</v>
      </c>
      <c r="M43" s="34">
        <v>0.5</v>
      </c>
      <c r="N43" s="24">
        <v>0.145</v>
      </c>
      <c r="O43" s="25">
        <v>0.07</v>
      </c>
    </row>
    <row r="44" s="2" customFormat="1" ht="24" customHeight="1" spans="1:15">
      <c r="A44" s="37" t="s">
        <v>19</v>
      </c>
      <c r="B44" s="27" t="s">
        <v>65</v>
      </c>
      <c r="C44" s="20" t="s">
        <v>21</v>
      </c>
      <c r="D44" s="29" t="s">
        <v>52</v>
      </c>
      <c r="E44" s="29" t="s">
        <v>23</v>
      </c>
      <c r="F44" s="29" t="s">
        <v>24</v>
      </c>
      <c r="G44" s="30">
        <v>900</v>
      </c>
      <c r="H44" s="31">
        <v>8.41</v>
      </c>
      <c r="I44" s="31">
        <v>7.96</v>
      </c>
      <c r="J44" s="31"/>
      <c r="K44" s="31"/>
      <c r="L44" s="32">
        <f t="shared" si="2"/>
        <v>16.37</v>
      </c>
      <c r="M44" s="31">
        <v>4.5</v>
      </c>
      <c r="N44" s="24">
        <v>0.145</v>
      </c>
      <c r="O44" s="25">
        <v>0.65</v>
      </c>
    </row>
    <row r="45" s="2" customFormat="1" ht="24" customHeight="1" spans="1:15">
      <c r="A45" s="37" t="s">
        <v>19</v>
      </c>
      <c r="B45" s="27" t="s">
        <v>66</v>
      </c>
      <c r="C45" s="20" t="s">
        <v>21</v>
      </c>
      <c r="D45" s="29" t="s">
        <v>52</v>
      </c>
      <c r="E45" s="29" t="s">
        <v>23</v>
      </c>
      <c r="F45" s="29" t="s">
        <v>24</v>
      </c>
      <c r="G45" s="30">
        <v>990</v>
      </c>
      <c r="H45" s="31"/>
      <c r="I45" s="31"/>
      <c r="J45" s="31"/>
      <c r="K45" s="31">
        <v>4.38</v>
      </c>
      <c r="L45" s="32">
        <f t="shared" si="2"/>
        <v>4.38</v>
      </c>
      <c r="M45" s="31">
        <v>1.65</v>
      </c>
      <c r="N45" s="24">
        <v>0.145</v>
      </c>
      <c r="O45" s="25">
        <v>0.24</v>
      </c>
    </row>
    <row r="46" s="2" customFormat="1" ht="24" customHeight="1" spans="1:15">
      <c r="A46" s="37" t="s">
        <v>19</v>
      </c>
      <c r="B46" s="27" t="s">
        <v>67</v>
      </c>
      <c r="C46" s="20" t="s">
        <v>21</v>
      </c>
      <c r="D46" s="29" t="s">
        <v>52</v>
      </c>
      <c r="E46" s="29" t="s">
        <v>23</v>
      </c>
      <c r="F46" s="29" t="s">
        <v>24</v>
      </c>
      <c r="G46" s="30">
        <v>1000</v>
      </c>
      <c r="H46" s="32"/>
      <c r="I46" s="31"/>
      <c r="J46" s="31"/>
      <c r="K46" s="31">
        <v>1.78</v>
      </c>
      <c r="L46" s="32">
        <f t="shared" si="2"/>
        <v>1.78</v>
      </c>
      <c r="M46" s="31">
        <v>0.83</v>
      </c>
      <c r="N46" s="24">
        <v>0.145</v>
      </c>
      <c r="O46" s="25">
        <v>0.12</v>
      </c>
    </row>
    <row r="47" s="2" customFormat="1" ht="24" customHeight="1" spans="1:15">
      <c r="A47" s="34" t="s">
        <v>19</v>
      </c>
      <c r="B47" s="27" t="s">
        <v>68</v>
      </c>
      <c r="C47" s="29" t="s">
        <v>21</v>
      </c>
      <c r="D47" s="29" t="s">
        <v>69</v>
      </c>
      <c r="E47" s="29" t="s">
        <v>23</v>
      </c>
      <c r="F47" s="29" t="s">
        <v>24</v>
      </c>
      <c r="G47" s="30">
        <v>950</v>
      </c>
      <c r="H47" s="31">
        <v>8.13</v>
      </c>
      <c r="I47" s="31">
        <v>8.13</v>
      </c>
      <c r="J47" s="31">
        <v>8.13</v>
      </c>
      <c r="K47" s="31">
        <v>5.39</v>
      </c>
      <c r="L47" s="32">
        <f t="shared" si="2"/>
        <v>29.78</v>
      </c>
      <c r="M47" s="31">
        <v>8.71</v>
      </c>
      <c r="N47" s="24">
        <v>0.145</v>
      </c>
      <c r="O47" s="25">
        <v>1.26</v>
      </c>
    </row>
    <row r="48" s="2" customFormat="1" ht="24" customHeight="1" spans="1:15">
      <c r="A48" s="34" t="s">
        <v>19</v>
      </c>
      <c r="B48" s="27" t="s">
        <v>70</v>
      </c>
      <c r="C48" s="29" t="s">
        <v>21</v>
      </c>
      <c r="D48" s="29" t="s">
        <v>69</v>
      </c>
      <c r="E48" s="29" t="s">
        <v>23</v>
      </c>
      <c r="F48" s="29" t="s">
        <v>24</v>
      </c>
      <c r="G48" s="33">
        <v>900</v>
      </c>
      <c r="H48" s="32">
        <v>6.44</v>
      </c>
      <c r="I48" s="32">
        <v>6.5</v>
      </c>
      <c r="J48" s="32">
        <v>6.44</v>
      </c>
      <c r="K48" s="32">
        <v>6.37</v>
      </c>
      <c r="L48" s="32">
        <f t="shared" si="2"/>
        <v>25.75</v>
      </c>
      <c r="M48" s="31">
        <v>9</v>
      </c>
      <c r="N48" s="24">
        <v>0.145</v>
      </c>
      <c r="O48" s="25">
        <v>1.31</v>
      </c>
    </row>
    <row r="49" s="2" customFormat="1" ht="31" customHeight="1" spans="1:15">
      <c r="A49" s="34" t="s">
        <v>19</v>
      </c>
      <c r="B49" s="27">
        <v>6</v>
      </c>
      <c r="C49" s="29" t="s">
        <v>21</v>
      </c>
      <c r="D49" s="29" t="s">
        <v>71</v>
      </c>
      <c r="E49" s="29" t="s">
        <v>23</v>
      </c>
      <c r="F49" s="29" t="s">
        <v>72</v>
      </c>
      <c r="G49" s="33">
        <v>1000</v>
      </c>
      <c r="H49" s="32">
        <v>6.24</v>
      </c>
      <c r="I49" s="32">
        <v>6.38</v>
      </c>
      <c r="J49" s="32">
        <v>7.16</v>
      </c>
      <c r="K49" s="32">
        <v>7.08</v>
      </c>
      <c r="L49" s="32">
        <f t="shared" si="2"/>
        <v>26.86</v>
      </c>
      <c r="M49" s="32">
        <v>10</v>
      </c>
      <c r="N49" s="24">
        <v>0.145</v>
      </c>
      <c r="O49" s="25">
        <v>1.45</v>
      </c>
    </row>
    <row r="50" ht="24" customHeight="1" spans="1:15">
      <c r="A50" s="38" t="s">
        <v>19</v>
      </c>
      <c r="B50" s="27" t="s">
        <v>73</v>
      </c>
      <c r="C50" s="39" t="s">
        <v>21</v>
      </c>
      <c r="D50" s="40" t="s">
        <v>74</v>
      </c>
      <c r="E50" s="29" t="s">
        <v>23</v>
      </c>
      <c r="F50" s="40" t="s">
        <v>24</v>
      </c>
      <c r="G50" s="41">
        <v>300</v>
      </c>
      <c r="H50" s="42"/>
      <c r="I50" s="42"/>
      <c r="J50" s="42"/>
      <c r="K50" s="42">
        <v>2.04</v>
      </c>
      <c r="L50" s="42">
        <f t="shared" si="2"/>
        <v>2.04</v>
      </c>
      <c r="M50" s="43">
        <f>ROUND(300*0.01/12*2,2)</f>
        <v>0.5</v>
      </c>
      <c r="N50" s="24">
        <v>0.145</v>
      </c>
      <c r="O50" s="25">
        <v>0.07</v>
      </c>
    </row>
    <row r="51" ht="24" customHeight="1" spans="1:15">
      <c r="A51" s="38" t="s">
        <v>19</v>
      </c>
      <c r="B51" s="27" t="s">
        <v>75</v>
      </c>
      <c r="C51" s="39" t="s">
        <v>21</v>
      </c>
      <c r="D51" s="40" t="s">
        <v>74</v>
      </c>
      <c r="E51" s="29" t="s">
        <v>23</v>
      </c>
      <c r="F51" s="40" t="s">
        <v>24</v>
      </c>
      <c r="G51" s="41">
        <v>500</v>
      </c>
      <c r="H51" s="42">
        <v>4.99</v>
      </c>
      <c r="I51" s="42"/>
      <c r="J51" s="42"/>
      <c r="K51" s="42"/>
      <c r="L51" s="42">
        <f t="shared" si="2"/>
        <v>4.99</v>
      </c>
      <c r="M51" s="43">
        <f>ROUND(500*0.01/12*3,2)</f>
        <v>1.25</v>
      </c>
      <c r="N51" s="24">
        <v>0.145</v>
      </c>
      <c r="O51" s="25">
        <v>0.18</v>
      </c>
    </row>
    <row r="52" ht="24" customHeight="1" spans="1:15">
      <c r="A52" s="38" t="s">
        <v>19</v>
      </c>
      <c r="B52" s="27" t="s">
        <v>76</v>
      </c>
      <c r="C52" s="39" t="s">
        <v>21</v>
      </c>
      <c r="D52" s="40" t="s">
        <v>74</v>
      </c>
      <c r="E52" s="29" t="s">
        <v>23</v>
      </c>
      <c r="F52" s="40" t="s">
        <v>24</v>
      </c>
      <c r="G52" s="41">
        <v>500</v>
      </c>
      <c r="H52" s="42">
        <v>0</v>
      </c>
      <c r="I52" s="42">
        <v>3.06</v>
      </c>
      <c r="J52" s="42">
        <v>3.13</v>
      </c>
      <c r="K52" s="42">
        <v>3.1</v>
      </c>
      <c r="L52" s="42">
        <f t="shared" si="2"/>
        <v>9.29</v>
      </c>
      <c r="M52" s="43">
        <f>ROUND(500*0.01/12*9,2)</f>
        <v>3.75</v>
      </c>
      <c r="N52" s="24">
        <v>0.145</v>
      </c>
      <c r="O52" s="25">
        <v>0.54</v>
      </c>
    </row>
    <row r="53" ht="24" customHeight="1" spans="1:15">
      <c r="A53" s="38" t="s">
        <v>19</v>
      </c>
      <c r="B53" s="27" t="s">
        <v>77</v>
      </c>
      <c r="C53" s="39" t="s">
        <v>21</v>
      </c>
      <c r="D53" s="40" t="s">
        <v>74</v>
      </c>
      <c r="E53" s="29" t="s">
        <v>23</v>
      </c>
      <c r="F53" s="40" t="s">
        <v>24</v>
      </c>
      <c r="G53" s="41">
        <v>447.5</v>
      </c>
      <c r="H53" s="42">
        <v>7.51</v>
      </c>
      <c r="I53" s="42">
        <v>7.56</v>
      </c>
      <c r="J53" s="42">
        <v>7.51</v>
      </c>
      <c r="K53" s="42">
        <v>2.45</v>
      </c>
      <c r="L53" s="42">
        <f t="shared" si="2"/>
        <v>25.03</v>
      </c>
      <c r="M53" s="43">
        <v>3.73</v>
      </c>
      <c r="N53" s="24">
        <v>0.145</v>
      </c>
      <c r="O53" s="25">
        <v>0.54</v>
      </c>
    </row>
    <row r="54" ht="24" customHeight="1" spans="1:15">
      <c r="A54" s="38" t="s">
        <v>19</v>
      </c>
      <c r="B54" s="27" t="s">
        <v>78</v>
      </c>
      <c r="C54" s="39" t="s">
        <v>21</v>
      </c>
      <c r="D54" s="40" t="s">
        <v>74</v>
      </c>
      <c r="E54" s="29" t="s">
        <v>23</v>
      </c>
      <c r="F54" s="40" t="s">
        <v>24</v>
      </c>
      <c r="G54" s="41">
        <v>500</v>
      </c>
      <c r="H54" s="42"/>
      <c r="I54" s="42">
        <v>2.14</v>
      </c>
      <c r="J54" s="42">
        <v>2.49</v>
      </c>
      <c r="K54" s="42">
        <v>2.46</v>
      </c>
      <c r="L54" s="42">
        <f t="shared" si="2"/>
        <v>7.09</v>
      </c>
      <c r="M54" s="43">
        <f>ROUND(500*0.01/12*8,2)</f>
        <v>3.33</v>
      </c>
      <c r="N54" s="24">
        <v>0.145</v>
      </c>
      <c r="O54" s="25">
        <v>0.48</v>
      </c>
    </row>
    <row r="55" ht="24" customHeight="1" spans="1:15">
      <c r="A55" s="38" t="s">
        <v>19</v>
      </c>
      <c r="B55" s="27" t="s">
        <v>79</v>
      </c>
      <c r="C55" s="39" t="s">
        <v>21</v>
      </c>
      <c r="D55" s="40" t="s">
        <v>74</v>
      </c>
      <c r="E55" s="29" t="s">
        <v>23</v>
      </c>
      <c r="F55" s="40" t="s">
        <v>24</v>
      </c>
      <c r="G55" s="41">
        <v>300</v>
      </c>
      <c r="H55" s="42">
        <v>3.64</v>
      </c>
      <c r="I55" s="42">
        <v>3.68</v>
      </c>
      <c r="J55" s="42">
        <v>3.68</v>
      </c>
      <c r="K55" s="42"/>
      <c r="L55" s="42">
        <f t="shared" si="2"/>
        <v>11</v>
      </c>
      <c r="M55" s="43">
        <f>300*0.01/12*9</f>
        <v>2.25</v>
      </c>
      <c r="N55" s="24">
        <v>0.145</v>
      </c>
      <c r="O55" s="25">
        <v>0.33</v>
      </c>
    </row>
    <row r="56" ht="24" customHeight="1" spans="1:15">
      <c r="A56" s="38" t="s">
        <v>19</v>
      </c>
      <c r="B56" s="27" t="s">
        <v>80</v>
      </c>
      <c r="C56" s="39" t="s">
        <v>21</v>
      </c>
      <c r="D56" s="40" t="s">
        <v>74</v>
      </c>
      <c r="E56" s="29" t="s">
        <v>23</v>
      </c>
      <c r="F56" s="40" t="s">
        <v>24</v>
      </c>
      <c r="G56" s="41">
        <v>280</v>
      </c>
      <c r="H56" s="42">
        <v>4.48</v>
      </c>
      <c r="I56" s="42">
        <v>4.53</v>
      </c>
      <c r="J56" s="42"/>
      <c r="K56" s="42"/>
      <c r="L56" s="42">
        <f t="shared" si="2"/>
        <v>9.01</v>
      </c>
      <c r="M56" s="43">
        <f>ROUND(280*0.01/12*6,2)</f>
        <v>1.4</v>
      </c>
      <c r="N56" s="24">
        <v>0.145</v>
      </c>
      <c r="O56" s="25">
        <v>0.2</v>
      </c>
    </row>
    <row r="57" ht="24" customHeight="1" spans="1:15">
      <c r="A57" s="38" t="s">
        <v>19</v>
      </c>
      <c r="B57" s="27" t="s">
        <v>81</v>
      </c>
      <c r="C57" s="39" t="s">
        <v>21</v>
      </c>
      <c r="D57" s="40" t="s">
        <v>74</v>
      </c>
      <c r="E57" s="29" t="s">
        <v>23</v>
      </c>
      <c r="F57" s="40" t="s">
        <v>24</v>
      </c>
      <c r="G57" s="41">
        <v>2750</v>
      </c>
      <c r="H57" s="42">
        <v>28.76</v>
      </c>
      <c r="I57" s="42">
        <v>30.22</v>
      </c>
      <c r="J57" s="42">
        <v>30.22</v>
      </c>
      <c r="K57" s="42">
        <v>29.89</v>
      </c>
      <c r="L57" s="42">
        <f t="shared" si="2"/>
        <v>119.09</v>
      </c>
      <c r="M57" s="43">
        <f>2750*0.01</f>
        <v>27.5</v>
      </c>
      <c r="N57" s="24">
        <v>0.145</v>
      </c>
      <c r="O57" s="25">
        <v>3.99</v>
      </c>
    </row>
    <row r="58" ht="24" customHeight="1" spans="1:15">
      <c r="A58" s="38" t="s">
        <v>19</v>
      </c>
      <c r="B58" s="27">
        <v>8</v>
      </c>
      <c r="C58" s="39" t="s">
        <v>21</v>
      </c>
      <c r="D58" s="40" t="s">
        <v>82</v>
      </c>
      <c r="E58" s="29" t="s">
        <v>23</v>
      </c>
      <c r="F58" s="40" t="s">
        <v>24</v>
      </c>
      <c r="G58" s="41">
        <v>700</v>
      </c>
      <c r="H58" s="42">
        <v>6.43</v>
      </c>
      <c r="I58" s="42">
        <v>6.8</v>
      </c>
      <c r="J58" s="42">
        <v>6.8</v>
      </c>
      <c r="K58" s="42">
        <v>6.72</v>
      </c>
      <c r="L58" s="42">
        <f t="shared" si="2"/>
        <v>26.75</v>
      </c>
      <c r="M58" s="43">
        <f>700*0.01</f>
        <v>7</v>
      </c>
      <c r="N58" s="24">
        <v>0.145</v>
      </c>
      <c r="O58" s="25">
        <v>1.02</v>
      </c>
    </row>
    <row r="59" ht="24" customHeight="1" spans="1:15">
      <c r="A59" s="38" t="s">
        <v>19</v>
      </c>
      <c r="B59" s="44">
        <v>9</v>
      </c>
      <c r="C59" s="39" t="s">
        <v>21</v>
      </c>
      <c r="D59" s="40" t="s">
        <v>83</v>
      </c>
      <c r="E59" s="29" t="s">
        <v>23</v>
      </c>
      <c r="F59" s="40" t="s">
        <v>24</v>
      </c>
      <c r="G59" s="41">
        <v>1000</v>
      </c>
      <c r="H59" s="42"/>
      <c r="I59" s="42">
        <v>6.42</v>
      </c>
      <c r="J59" s="42">
        <v>8.82</v>
      </c>
      <c r="K59" s="42">
        <v>8.72</v>
      </c>
      <c r="L59" s="42">
        <f t="shared" si="2"/>
        <v>23.96</v>
      </c>
      <c r="M59" s="43">
        <f>ROUND(1000*0.01/12*9,2)</f>
        <v>7.5</v>
      </c>
      <c r="N59" s="24">
        <v>0.145</v>
      </c>
      <c r="O59" s="25">
        <v>1.09</v>
      </c>
    </row>
    <row r="60" ht="24" customHeight="1" spans="1:15">
      <c r="A60" s="38" t="s">
        <v>19</v>
      </c>
      <c r="B60" s="44">
        <v>10</v>
      </c>
      <c r="C60" s="39" t="s">
        <v>21</v>
      </c>
      <c r="D60" s="40" t="s">
        <v>84</v>
      </c>
      <c r="E60" s="29" t="s">
        <v>23</v>
      </c>
      <c r="F60" s="40" t="s">
        <v>24</v>
      </c>
      <c r="G60" s="41">
        <v>270</v>
      </c>
      <c r="H60" s="42"/>
      <c r="I60" s="42"/>
      <c r="J60" s="42">
        <v>2.8</v>
      </c>
      <c r="K60" s="42">
        <v>3.75</v>
      </c>
      <c r="L60" s="42">
        <f t="shared" si="2"/>
        <v>6.55</v>
      </c>
      <c r="M60" s="43">
        <f>ROUND(270*0.01/12*6,2)</f>
        <v>1.35</v>
      </c>
      <c r="N60" s="24">
        <v>0.145</v>
      </c>
      <c r="O60" s="25">
        <v>0.2</v>
      </c>
    </row>
    <row r="61" s="2" customFormat="1" ht="24" customHeight="1" spans="1:15">
      <c r="A61" s="38" t="s">
        <v>19</v>
      </c>
      <c r="B61" s="44">
        <v>11</v>
      </c>
      <c r="C61" s="39" t="s">
        <v>21</v>
      </c>
      <c r="D61" s="39" t="s">
        <v>85</v>
      </c>
      <c r="E61" s="29" t="s">
        <v>86</v>
      </c>
      <c r="F61" s="29" t="s">
        <v>87</v>
      </c>
      <c r="G61" s="33">
        <v>100</v>
      </c>
      <c r="H61" s="34">
        <v>1.39</v>
      </c>
      <c r="I61" s="32">
        <v>1.41</v>
      </c>
      <c r="J61" s="32">
        <v>1.36</v>
      </c>
      <c r="K61" s="32">
        <v>1.39</v>
      </c>
      <c r="L61" s="42">
        <f t="shared" si="2"/>
        <v>5.55</v>
      </c>
      <c r="M61" s="31">
        <v>1</v>
      </c>
      <c r="N61" s="24">
        <v>0.145</v>
      </c>
      <c r="O61" s="25">
        <v>0.15</v>
      </c>
    </row>
    <row r="62" s="2" customFormat="1" ht="24" customHeight="1" spans="1:15">
      <c r="A62" s="38" t="s">
        <v>19</v>
      </c>
      <c r="B62" s="44">
        <v>11</v>
      </c>
      <c r="C62" s="39" t="s">
        <v>21</v>
      </c>
      <c r="D62" s="39" t="s">
        <v>85</v>
      </c>
      <c r="E62" s="29" t="s">
        <v>86</v>
      </c>
      <c r="F62" s="29" t="s">
        <v>87</v>
      </c>
      <c r="G62" s="33">
        <v>195</v>
      </c>
      <c r="H62" s="34">
        <v>3.55</v>
      </c>
      <c r="I62" s="32">
        <v>3.59</v>
      </c>
      <c r="J62" s="32">
        <v>1.17</v>
      </c>
      <c r="K62" s="32"/>
      <c r="L62" s="42">
        <f t="shared" si="2"/>
        <v>8.31</v>
      </c>
      <c r="M62" s="31">
        <f>ROUND(195*0.01/12*8,2)</f>
        <v>1.3</v>
      </c>
      <c r="N62" s="24">
        <v>0.145</v>
      </c>
      <c r="O62" s="25">
        <v>0.19</v>
      </c>
    </row>
    <row r="63" s="2" customFormat="1" ht="24" customHeight="1" spans="1:15">
      <c r="A63" s="38" t="s">
        <v>19</v>
      </c>
      <c r="B63" s="44">
        <v>11</v>
      </c>
      <c r="C63" s="39" t="s">
        <v>21</v>
      </c>
      <c r="D63" s="39" t="s">
        <v>85</v>
      </c>
      <c r="E63" s="29" t="s">
        <v>86</v>
      </c>
      <c r="F63" s="29" t="s">
        <v>87</v>
      </c>
      <c r="G63" s="33">
        <v>190</v>
      </c>
      <c r="H63" s="34"/>
      <c r="I63" s="32"/>
      <c r="J63" s="32">
        <v>0.9</v>
      </c>
      <c r="K63" s="32">
        <v>2.34</v>
      </c>
      <c r="L63" s="42">
        <f t="shared" si="2"/>
        <v>3.24</v>
      </c>
      <c r="M63" s="31">
        <f>ROUND(190*0.01/12*4,2)</f>
        <v>0.63</v>
      </c>
      <c r="N63" s="24">
        <v>0.145</v>
      </c>
      <c r="O63" s="25">
        <v>0.09</v>
      </c>
    </row>
    <row r="64" s="2" customFormat="1" ht="24" customHeight="1" spans="1:15">
      <c r="A64" s="45" t="s">
        <v>88</v>
      </c>
      <c r="B64" s="46"/>
      <c r="C64" s="46"/>
      <c r="D64" s="46"/>
      <c r="E64" s="46"/>
      <c r="F64" s="46"/>
      <c r="G64" s="32">
        <f>SUM(G6:G63)</f>
        <v>61005.3</v>
      </c>
      <c r="H64" s="32">
        <f t="shared" ref="H64:M64" si="3">SUM(H6:H63)</f>
        <v>224.381266</v>
      </c>
      <c r="I64" s="32">
        <f t="shared" si="3"/>
        <v>277.898975</v>
      </c>
      <c r="J64" s="32">
        <f t="shared" si="3"/>
        <v>267.657759</v>
      </c>
      <c r="K64" s="32">
        <f t="shared" si="3"/>
        <v>279.264133</v>
      </c>
      <c r="L64" s="32">
        <f t="shared" si="3"/>
        <v>1049.202133</v>
      </c>
      <c r="M64" s="32">
        <f t="shared" si="3"/>
        <v>324.68</v>
      </c>
      <c r="N64" s="24"/>
      <c r="O64" s="25">
        <f>SUM(O6:O63)</f>
        <v>47.08</v>
      </c>
    </row>
    <row r="65" s="2" customFormat="1" ht="50" customHeight="1" spans="1:15">
      <c r="A65" s="47" t="s">
        <v>89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O65" s="35"/>
    </row>
    <row r="66" s="2" customFormat="1" ht="12" spans="1:15">
      <c r="O66" s="35"/>
    </row>
  </sheetData>
  <autoFilter xmlns:etc="http://www.wps.cn/officeDocument/2017/etCustomData" ref="A5:O65" etc:filterBottomFollowUsedRange="0">
    <extLst/>
  </autoFilter>
  <mergeCells count="15">
    <mergeCell ref="A2:M2"/>
    <mergeCell ref="A3:M3"/>
    <mergeCell ref="H4:L4"/>
    <mergeCell ref="A64:F64"/>
    <mergeCell ref="A65:M65"/>
    <mergeCell ref="A4:A5"/>
    <mergeCell ref="B4:B5"/>
    <mergeCell ref="C4:C5"/>
    <mergeCell ref="D4:D5"/>
    <mergeCell ref="E4:E5"/>
    <mergeCell ref="F4:F5"/>
    <mergeCell ref="G4:G5"/>
    <mergeCell ref="M4:M5"/>
    <mergeCell ref="N4:N5"/>
    <mergeCell ref="O4:O5"/>
  </mergeCells>
  <dataValidations count="1">
    <dataValidation type="list" allowBlank="1" showInputMessage="1" showErrorMessage="1" sqref="E64 F6:F49">
      <formula1>"木材加工,生物质利用,花卉苗木,林下经济,森林资源培育"</formula1>
    </dataValidation>
  </dataValidations>
  <pageMargins left="0.629861111111111" right="0" top="0.802777777777778" bottom="0.802777777777778" header="0.5" footer="0.5"/>
  <pageSetup paperSize="9" scale="105" orientation="landscape" horizontalDpi="600"/>
  <headerFooter>
    <oddFooter>&amp;C第 &amp;P 页，共 &amp;N 页</oddFooter>
  </headerFooter>
  <ignoredErrors>
    <ignoredError sqref="L5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王薇</dc:creator>
  <cp:lastModifiedBy>小玲子</cp:lastModifiedBy>
  <dcterms:created xsi:type="dcterms:W3CDTF">2022-02-16T09:19:00Z</dcterms:created>
  <dcterms:modified xsi:type="dcterms:W3CDTF">2026-01-09T07:20:29Z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821B15DB029646589F860B68BA7E6BAA_12</vt:lpwstr>
  </property>
  <property fmtid="{D5CDD505-2E9C-101B-9397-08002B2CF9AE}" pid="4" name="CalculationRule">
    <vt:i4>0</vt:i4>
  </property>
</Properties>
</file>